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11377\Downloads\"/>
    </mc:Choice>
  </mc:AlternateContent>
  <xr:revisionPtr revIDLastSave="0" documentId="13_ncr:1_{591F39AA-BA37-4B83-8796-7C5479D427BA}" xr6:coauthVersionLast="36" xr6:coauthVersionMax="36" xr10:uidLastSave="{00000000-0000-0000-0000-000000000000}"/>
  <bookViews>
    <workbookView xWindow="0" yWindow="0" windowWidth="16200" windowHeight="24105" activeTab="1" xr2:uid="{00000000-000D-0000-FFFF-FFFF00000000}"/>
  </bookViews>
  <sheets>
    <sheet name="INSTITUÍÇÃO" sheetId="1" r:id="rId1"/>
    <sheet name="CAMPI" sheetId="2" r:id="rId2"/>
  </sheets>
  <definedNames>
    <definedName name="_xlnm._FilterDatabase" localSheetId="1" hidden="1">CAMPI!$A$1:$AO$1307</definedName>
    <definedName name="_xlnm._FilterDatabase" localSheetId="0" hidden="1">INSTITUÍÇÃO!$C$4:$D$4</definedName>
  </definedNames>
  <calcPr calcId="191029"/>
</workbook>
</file>

<file path=xl/calcChain.xml><?xml version="1.0" encoding="utf-8"?>
<calcChain xmlns="http://schemas.openxmlformats.org/spreadsheetml/2006/main">
  <c r="AM1307" i="2" l="1"/>
  <c r="AB1307" i="2"/>
  <c r="AA1307" i="2"/>
  <c r="R1307" i="2"/>
  <c r="O1307" i="2"/>
  <c r="N1307" i="2"/>
  <c r="AM1306" i="2"/>
  <c r="AB1306" i="2"/>
  <c r="AA1306" i="2"/>
  <c r="R1306" i="2"/>
  <c r="O1306" i="2"/>
  <c r="N1306" i="2"/>
  <c r="AM1305" i="2"/>
  <c r="AB1305" i="2"/>
  <c r="AA1305" i="2"/>
  <c r="R1305" i="2"/>
  <c r="O1305" i="2"/>
  <c r="N1305" i="2"/>
  <c r="AM1304" i="2"/>
  <c r="AB1304" i="2"/>
  <c r="AA1304" i="2"/>
  <c r="R1304" i="2"/>
  <c r="O1304" i="2"/>
  <c r="N1304" i="2"/>
  <c r="AM1303" i="2"/>
  <c r="AB1303" i="2"/>
  <c r="AA1303" i="2"/>
  <c r="R1303" i="2"/>
  <c r="O1303" i="2"/>
  <c r="N1303" i="2"/>
  <c r="AM1302" i="2"/>
  <c r="AB1302" i="2"/>
  <c r="AA1302" i="2"/>
  <c r="R1302" i="2"/>
  <c r="O1302" i="2"/>
  <c r="N1302" i="2"/>
  <c r="AM1301" i="2"/>
  <c r="AB1301" i="2"/>
  <c r="AA1301" i="2"/>
  <c r="R1301" i="2"/>
  <c r="O1301" i="2"/>
  <c r="N1301" i="2"/>
  <c r="AM1300" i="2"/>
  <c r="AB1300" i="2"/>
  <c r="AA1300" i="2"/>
  <c r="R1300" i="2"/>
  <c r="O1300" i="2"/>
  <c r="N1300" i="2"/>
  <c r="AM1299" i="2"/>
  <c r="AB1299" i="2"/>
  <c r="AA1299" i="2"/>
  <c r="R1299" i="2"/>
  <c r="O1299" i="2"/>
  <c r="N1299" i="2"/>
  <c r="AM1298" i="2"/>
  <c r="AB1298" i="2"/>
  <c r="AA1298" i="2"/>
  <c r="R1298" i="2"/>
  <c r="O1298" i="2"/>
  <c r="N1298" i="2"/>
  <c r="AM1297" i="2"/>
  <c r="AB1297" i="2"/>
  <c r="AA1297" i="2"/>
  <c r="R1297" i="2"/>
  <c r="O1297" i="2"/>
  <c r="N1297" i="2"/>
  <c r="AM1296" i="2"/>
  <c r="AB1296" i="2"/>
  <c r="AA1296" i="2"/>
  <c r="R1296" i="2"/>
  <c r="O1296" i="2"/>
  <c r="N1296" i="2"/>
  <c r="AM1295" i="2"/>
  <c r="AB1295" i="2"/>
  <c r="AA1295" i="2"/>
  <c r="R1295" i="2"/>
  <c r="O1295" i="2"/>
  <c r="N1295" i="2"/>
  <c r="AM1294" i="2"/>
  <c r="AB1294" i="2"/>
  <c r="AA1294" i="2"/>
  <c r="R1294" i="2"/>
  <c r="O1294" i="2"/>
  <c r="N1294" i="2"/>
  <c r="AM1293" i="2"/>
  <c r="AB1293" i="2"/>
  <c r="AA1293" i="2"/>
  <c r="R1293" i="2"/>
  <c r="O1293" i="2"/>
  <c r="N1293" i="2"/>
  <c r="AM1292" i="2"/>
  <c r="AB1292" i="2"/>
  <c r="AA1292" i="2"/>
  <c r="R1292" i="2"/>
  <c r="O1292" i="2"/>
  <c r="N1292" i="2"/>
  <c r="AM1291" i="2"/>
  <c r="AB1291" i="2"/>
  <c r="AA1291" i="2"/>
  <c r="R1291" i="2"/>
  <c r="O1291" i="2"/>
  <c r="N1291" i="2"/>
  <c r="AM1290" i="2"/>
  <c r="AB1290" i="2"/>
  <c r="AA1290" i="2"/>
  <c r="R1290" i="2"/>
  <c r="O1290" i="2"/>
  <c r="N1290" i="2"/>
  <c r="AM1289" i="2"/>
  <c r="AB1289" i="2"/>
  <c r="AA1289" i="2"/>
  <c r="R1289" i="2"/>
  <c r="O1289" i="2"/>
  <c r="N1289" i="2"/>
  <c r="AM1288" i="2"/>
  <c r="AB1288" i="2"/>
  <c r="AA1288" i="2"/>
  <c r="R1288" i="2"/>
  <c r="O1288" i="2"/>
  <c r="N1288" i="2"/>
  <c r="AM1287" i="2"/>
  <c r="AB1287" i="2"/>
  <c r="AA1287" i="2"/>
  <c r="R1287" i="2"/>
  <c r="O1287" i="2"/>
  <c r="N1287" i="2"/>
  <c r="AM1286" i="2"/>
  <c r="AB1286" i="2"/>
  <c r="AA1286" i="2"/>
  <c r="R1286" i="2"/>
  <c r="O1286" i="2"/>
  <c r="N1286" i="2"/>
  <c r="AM1285" i="2"/>
  <c r="AB1285" i="2"/>
  <c r="AA1285" i="2"/>
  <c r="R1285" i="2"/>
  <c r="O1285" i="2"/>
  <c r="N1285" i="2"/>
  <c r="AM1284" i="2"/>
  <c r="AB1284" i="2"/>
  <c r="AA1284" i="2"/>
  <c r="R1284" i="2"/>
  <c r="O1284" i="2"/>
  <c r="N1284" i="2"/>
  <c r="AM1283" i="2"/>
  <c r="AB1283" i="2"/>
  <c r="AA1283" i="2"/>
  <c r="R1283" i="2"/>
  <c r="O1283" i="2"/>
  <c r="N1283" i="2"/>
  <c r="AM1282" i="2"/>
  <c r="AB1282" i="2"/>
  <c r="AA1282" i="2"/>
  <c r="R1282" i="2"/>
  <c r="O1282" i="2"/>
  <c r="N1282" i="2"/>
  <c r="AM1281" i="2"/>
  <c r="AB1281" i="2"/>
  <c r="AA1281" i="2"/>
  <c r="R1281" i="2"/>
  <c r="O1281" i="2"/>
  <c r="N1281" i="2"/>
  <c r="AM1280" i="2"/>
  <c r="AB1280" i="2"/>
  <c r="AA1280" i="2"/>
  <c r="R1280" i="2"/>
  <c r="O1280" i="2"/>
  <c r="N1280" i="2"/>
  <c r="AM1279" i="2"/>
  <c r="AB1279" i="2"/>
  <c r="AA1279" i="2"/>
  <c r="R1279" i="2"/>
  <c r="O1279" i="2"/>
  <c r="N1279" i="2"/>
  <c r="AM1278" i="2"/>
  <c r="AB1278" i="2"/>
  <c r="AA1278" i="2"/>
  <c r="R1278" i="2"/>
  <c r="O1278" i="2"/>
  <c r="N1278" i="2"/>
  <c r="AM1277" i="2"/>
  <c r="AB1277" i="2"/>
  <c r="AA1277" i="2"/>
  <c r="R1277" i="2"/>
  <c r="O1277" i="2"/>
  <c r="N1277" i="2"/>
  <c r="AM1276" i="2"/>
  <c r="AB1276" i="2"/>
  <c r="AA1276" i="2"/>
  <c r="R1276" i="2"/>
  <c r="O1276" i="2"/>
  <c r="N1276" i="2"/>
  <c r="AM1275" i="2"/>
  <c r="AB1275" i="2"/>
  <c r="AA1275" i="2"/>
  <c r="R1275" i="2"/>
  <c r="O1275" i="2"/>
  <c r="N1275" i="2"/>
  <c r="AM1274" i="2"/>
  <c r="AB1274" i="2"/>
  <c r="AA1274" i="2"/>
  <c r="R1274" i="2"/>
  <c r="O1274" i="2"/>
  <c r="N1274" i="2"/>
  <c r="AM1273" i="2"/>
  <c r="AB1273" i="2"/>
  <c r="AA1273" i="2"/>
  <c r="R1273" i="2"/>
  <c r="O1273" i="2"/>
  <c r="N1273" i="2"/>
  <c r="AM1272" i="2"/>
  <c r="AB1272" i="2"/>
  <c r="AA1272" i="2"/>
  <c r="R1272" i="2"/>
  <c r="O1272" i="2"/>
  <c r="N1272" i="2"/>
  <c r="AM1271" i="2"/>
  <c r="AB1271" i="2"/>
  <c r="AA1271" i="2"/>
  <c r="R1271" i="2"/>
  <c r="O1271" i="2"/>
  <c r="N1271" i="2"/>
  <c r="AM1270" i="2"/>
  <c r="AB1270" i="2"/>
  <c r="AA1270" i="2"/>
  <c r="R1270" i="2"/>
  <c r="O1270" i="2"/>
  <c r="N1270" i="2"/>
  <c r="AM1269" i="2"/>
  <c r="AB1269" i="2"/>
  <c r="AA1269" i="2"/>
  <c r="R1269" i="2"/>
  <c r="O1269" i="2"/>
  <c r="N1269" i="2"/>
  <c r="AM1268" i="2"/>
  <c r="AB1268" i="2"/>
  <c r="AA1268" i="2"/>
  <c r="R1268" i="2"/>
  <c r="O1268" i="2"/>
  <c r="N1268" i="2"/>
  <c r="AM1267" i="2"/>
  <c r="AB1267" i="2"/>
  <c r="AA1267" i="2"/>
  <c r="R1267" i="2"/>
  <c r="O1267" i="2"/>
  <c r="N1267" i="2"/>
  <c r="AM1266" i="2"/>
  <c r="AB1266" i="2"/>
  <c r="AA1266" i="2"/>
  <c r="R1266" i="2"/>
  <c r="O1266" i="2"/>
  <c r="N1266" i="2"/>
  <c r="AM1265" i="2"/>
  <c r="AB1265" i="2"/>
  <c r="AA1265" i="2"/>
  <c r="R1265" i="2"/>
  <c r="O1265" i="2"/>
  <c r="N1265" i="2"/>
  <c r="AM1264" i="2"/>
  <c r="AB1264" i="2"/>
  <c r="AA1264" i="2"/>
  <c r="R1264" i="2"/>
  <c r="O1264" i="2"/>
  <c r="N1264" i="2"/>
  <c r="AM1263" i="2"/>
  <c r="AB1263" i="2"/>
  <c r="AA1263" i="2"/>
  <c r="R1263" i="2"/>
  <c r="O1263" i="2"/>
  <c r="N1263" i="2"/>
  <c r="AM1262" i="2"/>
  <c r="AB1262" i="2"/>
  <c r="AA1262" i="2"/>
  <c r="R1262" i="2"/>
  <c r="O1262" i="2"/>
  <c r="N1262" i="2"/>
  <c r="AM1261" i="2"/>
  <c r="AB1261" i="2"/>
  <c r="AA1261" i="2"/>
  <c r="R1261" i="2"/>
  <c r="O1261" i="2"/>
  <c r="N1261" i="2"/>
  <c r="AM1260" i="2"/>
  <c r="AB1260" i="2"/>
  <c r="AA1260" i="2"/>
  <c r="R1260" i="2"/>
  <c r="O1260" i="2"/>
  <c r="N1260" i="2"/>
  <c r="AM1259" i="2"/>
  <c r="AB1259" i="2"/>
  <c r="AA1259" i="2"/>
  <c r="R1259" i="2"/>
  <c r="O1259" i="2"/>
  <c r="N1259" i="2"/>
  <c r="AM1258" i="2"/>
  <c r="AB1258" i="2"/>
  <c r="AA1258" i="2"/>
  <c r="R1258" i="2"/>
  <c r="O1258" i="2"/>
  <c r="N1258" i="2"/>
  <c r="AM1257" i="2"/>
  <c r="AB1257" i="2"/>
  <c r="AA1257" i="2"/>
  <c r="R1257" i="2"/>
  <c r="O1257" i="2"/>
  <c r="N1257" i="2"/>
  <c r="AM1256" i="2"/>
  <c r="AB1256" i="2"/>
  <c r="AA1256" i="2"/>
  <c r="R1256" i="2"/>
  <c r="O1256" i="2"/>
  <c r="N1256" i="2"/>
  <c r="AM1255" i="2"/>
  <c r="AB1255" i="2"/>
  <c r="AA1255" i="2"/>
  <c r="R1255" i="2"/>
  <c r="O1255" i="2"/>
  <c r="N1255" i="2"/>
  <c r="AM1254" i="2"/>
  <c r="AB1254" i="2"/>
  <c r="AA1254" i="2"/>
  <c r="R1254" i="2"/>
  <c r="O1254" i="2"/>
  <c r="N1254" i="2"/>
  <c r="AM1253" i="2"/>
  <c r="AB1253" i="2"/>
  <c r="AA1253" i="2"/>
  <c r="R1253" i="2"/>
  <c r="O1253" i="2"/>
  <c r="N1253" i="2"/>
  <c r="AM1252" i="2"/>
  <c r="AB1252" i="2"/>
  <c r="AA1252" i="2"/>
  <c r="R1252" i="2"/>
  <c r="O1252" i="2"/>
  <c r="N1252" i="2"/>
  <c r="AM1251" i="2"/>
  <c r="AB1251" i="2"/>
  <c r="AA1251" i="2"/>
  <c r="R1251" i="2"/>
  <c r="O1251" i="2"/>
  <c r="N1251" i="2"/>
  <c r="AM1250" i="2"/>
  <c r="AB1250" i="2"/>
  <c r="AA1250" i="2"/>
  <c r="R1250" i="2"/>
  <c r="O1250" i="2"/>
  <c r="N1250" i="2"/>
  <c r="AM1249" i="2"/>
  <c r="AB1249" i="2"/>
  <c r="AA1249" i="2"/>
  <c r="R1249" i="2"/>
  <c r="O1249" i="2"/>
  <c r="N1249" i="2"/>
  <c r="AM1248" i="2"/>
  <c r="AB1248" i="2"/>
  <c r="AA1248" i="2"/>
  <c r="R1248" i="2"/>
  <c r="O1248" i="2"/>
  <c r="N1248" i="2"/>
  <c r="AM1247" i="2"/>
  <c r="AB1247" i="2"/>
  <c r="AA1247" i="2"/>
  <c r="R1247" i="2"/>
  <c r="O1247" i="2"/>
  <c r="N1247" i="2"/>
  <c r="AM1246" i="2"/>
  <c r="AB1246" i="2"/>
  <c r="AA1246" i="2"/>
  <c r="R1246" i="2"/>
  <c r="O1246" i="2"/>
  <c r="N1246" i="2"/>
  <c r="AM1245" i="2"/>
  <c r="AB1245" i="2"/>
  <c r="AA1245" i="2"/>
  <c r="R1245" i="2"/>
  <c r="O1245" i="2"/>
  <c r="N1245" i="2"/>
  <c r="AM1244" i="2"/>
  <c r="AB1244" i="2"/>
  <c r="AA1244" i="2"/>
  <c r="R1244" i="2"/>
  <c r="O1244" i="2"/>
  <c r="N1244" i="2"/>
  <c r="AM1243" i="2"/>
  <c r="AB1243" i="2"/>
  <c r="AA1243" i="2"/>
  <c r="R1243" i="2"/>
  <c r="O1243" i="2"/>
  <c r="N1243" i="2"/>
  <c r="AM1242" i="2"/>
  <c r="AB1242" i="2"/>
  <c r="AA1242" i="2"/>
  <c r="R1242" i="2"/>
  <c r="O1242" i="2"/>
  <c r="N1242" i="2"/>
  <c r="AM1241" i="2"/>
  <c r="AB1241" i="2"/>
  <c r="AA1241" i="2"/>
  <c r="R1241" i="2"/>
  <c r="O1241" i="2"/>
  <c r="N1241" i="2"/>
  <c r="AM1240" i="2"/>
  <c r="AB1240" i="2"/>
  <c r="AA1240" i="2"/>
  <c r="R1240" i="2"/>
  <c r="O1240" i="2"/>
  <c r="N1240" i="2"/>
  <c r="AM1239" i="2"/>
  <c r="AB1239" i="2"/>
  <c r="AA1239" i="2"/>
  <c r="R1239" i="2"/>
  <c r="O1239" i="2"/>
  <c r="N1239" i="2"/>
  <c r="AM1238" i="2"/>
  <c r="AB1238" i="2"/>
  <c r="AA1238" i="2"/>
  <c r="R1238" i="2"/>
  <c r="O1238" i="2"/>
  <c r="N1238" i="2"/>
  <c r="AM1237" i="2"/>
  <c r="AB1237" i="2"/>
  <c r="AA1237" i="2"/>
  <c r="R1237" i="2"/>
  <c r="O1237" i="2"/>
  <c r="N1237" i="2"/>
  <c r="AM1236" i="2"/>
  <c r="AB1236" i="2"/>
  <c r="AA1236" i="2"/>
  <c r="R1236" i="2"/>
  <c r="O1236" i="2"/>
  <c r="N1236" i="2"/>
  <c r="AM1235" i="2"/>
  <c r="AB1235" i="2"/>
  <c r="AA1235" i="2"/>
  <c r="R1235" i="2"/>
  <c r="O1235" i="2"/>
  <c r="N1235" i="2"/>
  <c r="AM1234" i="2"/>
  <c r="AB1234" i="2"/>
  <c r="AA1234" i="2"/>
  <c r="R1234" i="2"/>
  <c r="O1234" i="2"/>
  <c r="N1234" i="2"/>
  <c r="AM1233" i="2"/>
  <c r="AB1233" i="2"/>
  <c r="AA1233" i="2"/>
  <c r="R1233" i="2"/>
  <c r="O1233" i="2"/>
  <c r="N1233" i="2"/>
  <c r="AM1232" i="2"/>
  <c r="AB1232" i="2"/>
  <c r="AA1232" i="2"/>
  <c r="R1232" i="2"/>
  <c r="O1232" i="2"/>
  <c r="N1232" i="2"/>
  <c r="AM1231" i="2"/>
  <c r="AB1231" i="2"/>
  <c r="AA1231" i="2"/>
  <c r="R1231" i="2"/>
  <c r="O1231" i="2"/>
  <c r="N1231" i="2"/>
  <c r="AM1230" i="2"/>
  <c r="AB1230" i="2"/>
  <c r="AA1230" i="2"/>
  <c r="R1230" i="2"/>
  <c r="O1230" i="2"/>
  <c r="N1230" i="2"/>
  <c r="AM1229" i="2"/>
  <c r="AB1229" i="2"/>
  <c r="AA1229" i="2"/>
  <c r="R1229" i="2"/>
  <c r="O1229" i="2"/>
  <c r="N1229" i="2"/>
  <c r="AM1228" i="2"/>
  <c r="AB1228" i="2"/>
  <c r="AA1228" i="2"/>
  <c r="R1228" i="2"/>
  <c r="O1228" i="2"/>
  <c r="N1228" i="2"/>
  <c r="AM1227" i="2"/>
  <c r="AB1227" i="2"/>
  <c r="AA1227" i="2"/>
  <c r="R1227" i="2"/>
  <c r="O1227" i="2"/>
  <c r="N1227" i="2"/>
  <c r="AM1226" i="2"/>
  <c r="AB1226" i="2"/>
  <c r="AA1226" i="2"/>
  <c r="R1226" i="2"/>
  <c r="O1226" i="2"/>
  <c r="N1226" i="2"/>
  <c r="AM1225" i="2"/>
  <c r="AB1225" i="2"/>
  <c r="AA1225" i="2"/>
  <c r="R1225" i="2"/>
  <c r="O1225" i="2"/>
  <c r="N1225" i="2"/>
  <c r="AM1224" i="2"/>
  <c r="AB1224" i="2"/>
  <c r="AA1224" i="2"/>
  <c r="R1224" i="2"/>
  <c r="O1224" i="2"/>
  <c r="N1224" i="2"/>
  <c r="AM1223" i="2"/>
  <c r="AB1223" i="2"/>
  <c r="AA1223" i="2"/>
  <c r="R1223" i="2"/>
  <c r="O1223" i="2"/>
  <c r="N1223" i="2"/>
  <c r="AM1222" i="2"/>
  <c r="AB1222" i="2"/>
  <c r="AA1222" i="2"/>
  <c r="R1222" i="2"/>
  <c r="O1222" i="2"/>
  <c r="N1222" i="2"/>
  <c r="AM1221" i="2"/>
  <c r="AB1221" i="2"/>
  <c r="AA1221" i="2"/>
  <c r="R1221" i="2"/>
  <c r="O1221" i="2"/>
  <c r="N1221" i="2"/>
  <c r="AM1220" i="2"/>
  <c r="AB1220" i="2"/>
  <c r="AA1220" i="2"/>
  <c r="R1220" i="2"/>
  <c r="O1220" i="2"/>
  <c r="N1220" i="2"/>
  <c r="AM1219" i="2"/>
  <c r="AB1219" i="2"/>
  <c r="AA1219" i="2"/>
  <c r="R1219" i="2"/>
  <c r="O1219" i="2"/>
  <c r="N1219" i="2"/>
  <c r="AM1218" i="2"/>
  <c r="AB1218" i="2"/>
  <c r="AA1218" i="2"/>
  <c r="R1218" i="2"/>
  <c r="O1218" i="2"/>
  <c r="N1218" i="2"/>
  <c r="AM1217" i="2"/>
  <c r="AB1217" i="2"/>
  <c r="AA1217" i="2"/>
  <c r="R1217" i="2"/>
  <c r="O1217" i="2"/>
  <c r="N1217" i="2"/>
  <c r="AM1216" i="2"/>
  <c r="AB1216" i="2"/>
  <c r="AA1216" i="2"/>
  <c r="R1216" i="2"/>
  <c r="O1216" i="2"/>
  <c r="N1216" i="2"/>
  <c r="AM1215" i="2"/>
  <c r="AB1215" i="2"/>
  <c r="AA1215" i="2"/>
  <c r="R1215" i="2"/>
  <c r="O1215" i="2"/>
  <c r="N1215" i="2"/>
  <c r="AB1214" i="2"/>
  <c r="AA1214" i="2"/>
  <c r="R1214" i="2"/>
  <c r="O1214" i="2"/>
  <c r="N1214" i="2"/>
  <c r="AB1213" i="2"/>
  <c r="AA1213" i="2"/>
  <c r="R1213" i="2"/>
  <c r="O1213" i="2"/>
  <c r="N1213" i="2"/>
  <c r="AM1212" i="2"/>
  <c r="AB1212" i="2"/>
  <c r="AA1212" i="2"/>
  <c r="R1212" i="2"/>
  <c r="O1212" i="2"/>
  <c r="N1212" i="2"/>
  <c r="AM1211" i="2"/>
  <c r="AB1211" i="2"/>
  <c r="AA1211" i="2"/>
  <c r="R1211" i="2"/>
  <c r="O1211" i="2"/>
  <c r="N1211" i="2"/>
  <c r="AB1210" i="2"/>
  <c r="AA1210" i="2"/>
  <c r="R1210" i="2"/>
  <c r="O1210" i="2"/>
  <c r="N1210" i="2"/>
  <c r="AM1209" i="2"/>
  <c r="AB1209" i="2"/>
  <c r="AA1209" i="2"/>
  <c r="R1209" i="2"/>
  <c r="O1209" i="2"/>
  <c r="N1209" i="2"/>
  <c r="AB1208" i="2"/>
  <c r="AA1208" i="2"/>
  <c r="R1208" i="2"/>
  <c r="O1208" i="2"/>
  <c r="N1208" i="2"/>
  <c r="AB1207" i="2"/>
  <c r="AA1207" i="2"/>
  <c r="R1207" i="2"/>
  <c r="O1207" i="2"/>
  <c r="N1207" i="2"/>
  <c r="AM1206" i="2"/>
  <c r="AB1206" i="2"/>
  <c r="AA1206" i="2"/>
  <c r="R1206" i="2"/>
  <c r="O1206" i="2"/>
  <c r="N1206" i="2"/>
  <c r="AM1205" i="2"/>
  <c r="AB1205" i="2"/>
  <c r="AA1205" i="2"/>
  <c r="R1205" i="2"/>
  <c r="O1205" i="2"/>
  <c r="N1205" i="2"/>
  <c r="AB1204" i="2"/>
  <c r="AA1204" i="2"/>
  <c r="R1204" i="2"/>
  <c r="O1204" i="2"/>
  <c r="N1204" i="2"/>
  <c r="AB1203" i="2"/>
  <c r="AA1203" i="2"/>
  <c r="R1203" i="2"/>
  <c r="O1203" i="2"/>
  <c r="N1203" i="2"/>
  <c r="AB1202" i="2"/>
  <c r="AA1202" i="2"/>
  <c r="R1202" i="2"/>
  <c r="O1202" i="2"/>
  <c r="N1202" i="2"/>
  <c r="AM1201" i="2"/>
  <c r="AB1201" i="2"/>
  <c r="AA1201" i="2"/>
  <c r="R1201" i="2"/>
  <c r="O1201" i="2"/>
  <c r="N1201" i="2"/>
  <c r="AB1200" i="2"/>
  <c r="AA1200" i="2"/>
  <c r="R1200" i="2"/>
  <c r="O1200" i="2"/>
  <c r="N1200" i="2"/>
  <c r="AM1199" i="2"/>
  <c r="AB1199" i="2"/>
  <c r="AA1199" i="2"/>
  <c r="R1199" i="2"/>
  <c r="O1199" i="2"/>
  <c r="N1199" i="2"/>
  <c r="AB1198" i="2"/>
  <c r="AA1198" i="2"/>
  <c r="R1198" i="2"/>
  <c r="O1198" i="2"/>
  <c r="N1198" i="2"/>
  <c r="AB1197" i="2"/>
  <c r="AA1197" i="2"/>
  <c r="R1197" i="2"/>
  <c r="O1197" i="2"/>
  <c r="N1197" i="2"/>
  <c r="AM1196" i="2"/>
  <c r="AB1196" i="2"/>
  <c r="AA1196" i="2"/>
  <c r="R1196" i="2"/>
  <c r="O1196" i="2"/>
  <c r="N1196" i="2"/>
  <c r="AB1195" i="2"/>
  <c r="AA1195" i="2"/>
  <c r="R1195" i="2"/>
  <c r="O1195" i="2"/>
  <c r="N1195" i="2"/>
  <c r="AB1194" i="2"/>
  <c r="AA1194" i="2"/>
  <c r="R1194" i="2"/>
  <c r="O1194" i="2"/>
  <c r="N1194" i="2"/>
  <c r="AM1193" i="2"/>
  <c r="AB1193" i="2"/>
  <c r="AA1193" i="2"/>
  <c r="R1193" i="2"/>
  <c r="O1193" i="2"/>
  <c r="N1193" i="2"/>
  <c r="AB1192" i="2"/>
  <c r="AA1192" i="2"/>
  <c r="R1192" i="2"/>
  <c r="O1192" i="2"/>
  <c r="N1192" i="2"/>
  <c r="AM1191" i="2"/>
  <c r="AB1191" i="2"/>
  <c r="AA1191" i="2"/>
  <c r="R1191" i="2"/>
  <c r="O1191" i="2"/>
  <c r="N1191" i="2"/>
  <c r="AB1190" i="2"/>
  <c r="AA1190" i="2"/>
  <c r="R1190" i="2"/>
  <c r="O1190" i="2"/>
  <c r="N1190" i="2"/>
  <c r="AB1189" i="2"/>
  <c r="AA1189" i="2"/>
  <c r="R1189" i="2"/>
  <c r="O1189" i="2"/>
  <c r="N1189" i="2"/>
  <c r="AM1188" i="2"/>
  <c r="AB1188" i="2"/>
  <c r="AA1188" i="2"/>
  <c r="R1188" i="2"/>
  <c r="O1188" i="2"/>
  <c r="N1188" i="2"/>
  <c r="AB1187" i="2"/>
  <c r="AA1187" i="2"/>
  <c r="R1187" i="2"/>
  <c r="O1187" i="2"/>
  <c r="N1187" i="2"/>
  <c r="AM1186" i="2"/>
  <c r="AB1186" i="2"/>
  <c r="AA1186" i="2"/>
  <c r="R1186" i="2"/>
  <c r="O1186" i="2"/>
  <c r="N1186" i="2"/>
  <c r="AM1185" i="2"/>
  <c r="AB1185" i="2"/>
  <c r="AA1185" i="2"/>
  <c r="R1185" i="2"/>
  <c r="O1185" i="2"/>
  <c r="N1185" i="2"/>
  <c r="AB1184" i="2"/>
  <c r="AA1184" i="2"/>
  <c r="R1184" i="2"/>
  <c r="O1184" i="2"/>
  <c r="N1184" i="2"/>
  <c r="AM1183" i="2"/>
  <c r="AB1183" i="2"/>
  <c r="AA1183" i="2"/>
  <c r="R1183" i="2"/>
  <c r="O1183" i="2"/>
  <c r="N1183" i="2"/>
  <c r="AB1182" i="2"/>
  <c r="AA1182" i="2"/>
  <c r="R1182" i="2"/>
  <c r="O1182" i="2"/>
  <c r="N1182" i="2"/>
  <c r="AM1181" i="2"/>
  <c r="AB1181" i="2"/>
  <c r="AA1181" i="2"/>
  <c r="R1181" i="2"/>
  <c r="O1181" i="2"/>
  <c r="N1181" i="2"/>
  <c r="AB1180" i="2"/>
  <c r="AA1180" i="2"/>
  <c r="R1180" i="2"/>
  <c r="O1180" i="2"/>
  <c r="N1180" i="2"/>
  <c r="AM1179" i="2"/>
  <c r="AB1179" i="2"/>
  <c r="AA1179" i="2"/>
  <c r="R1179" i="2"/>
  <c r="O1179" i="2"/>
  <c r="N1179" i="2"/>
  <c r="AB1178" i="2"/>
  <c r="AA1178" i="2"/>
  <c r="R1178" i="2"/>
  <c r="O1178" i="2"/>
  <c r="N1178" i="2"/>
  <c r="AM1177" i="2"/>
  <c r="AB1177" i="2"/>
  <c r="AA1177" i="2"/>
  <c r="R1177" i="2"/>
  <c r="O1177" i="2"/>
  <c r="N1177" i="2"/>
  <c r="AB1176" i="2"/>
  <c r="AA1176" i="2"/>
  <c r="R1176" i="2"/>
  <c r="O1176" i="2"/>
  <c r="N1176" i="2"/>
  <c r="AM1175" i="2"/>
  <c r="AB1175" i="2"/>
  <c r="AA1175" i="2"/>
  <c r="R1175" i="2"/>
  <c r="O1175" i="2"/>
  <c r="N1175" i="2"/>
  <c r="AB1174" i="2"/>
  <c r="AA1174" i="2"/>
  <c r="R1174" i="2"/>
  <c r="O1174" i="2"/>
  <c r="N1174" i="2"/>
  <c r="AB1173" i="2"/>
  <c r="AA1173" i="2"/>
  <c r="R1173" i="2"/>
  <c r="O1173" i="2"/>
  <c r="N1173" i="2"/>
  <c r="AB1172" i="2"/>
  <c r="AA1172" i="2"/>
  <c r="R1172" i="2"/>
  <c r="O1172" i="2"/>
  <c r="N1172" i="2"/>
  <c r="AB1171" i="2"/>
  <c r="AA1171" i="2"/>
  <c r="R1171" i="2"/>
  <c r="O1171" i="2"/>
  <c r="N1171" i="2"/>
  <c r="AB1170" i="2"/>
  <c r="AA1170" i="2"/>
  <c r="R1170" i="2"/>
  <c r="O1170" i="2"/>
  <c r="N1170" i="2"/>
  <c r="AM1169" i="2"/>
  <c r="AB1169" i="2"/>
  <c r="AA1169" i="2"/>
  <c r="R1169" i="2"/>
  <c r="O1169" i="2"/>
  <c r="N1169" i="2"/>
  <c r="AM1168" i="2"/>
  <c r="AB1168" i="2"/>
  <c r="AA1168" i="2"/>
  <c r="R1168" i="2"/>
  <c r="O1168" i="2"/>
  <c r="N1168" i="2"/>
  <c r="AM1167" i="2"/>
  <c r="AB1167" i="2"/>
  <c r="AA1167" i="2"/>
  <c r="R1167" i="2"/>
  <c r="O1167" i="2"/>
  <c r="N1167" i="2"/>
  <c r="AM1166" i="2"/>
  <c r="AB1166" i="2"/>
  <c r="AA1166" i="2"/>
  <c r="R1166" i="2"/>
  <c r="O1166" i="2"/>
  <c r="N1166" i="2"/>
  <c r="AM1165" i="2"/>
  <c r="AB1165" i="2"/>
  <c r="AA1165" i="2"/>
  <c r="R1165" i="2"/>
  <c r="O1165" i="2"/>
  <c r="N1165" i="2"/>
  <c r="AM1164" i="2"/>
  <c r="AB1164" i="2"/>
  <c r="AA1164" i="2"/>
  <c r="R1164" i="2"/>
  <c r="O1164" i="2"/>
  <c r="N1164" i="2"/>
  <c r="O21" i="1"/>
  <c r="AM1163" i="2"/>
  <c r="AB1163" i="2"/>
  <c r="AA1163" i="2"/>
  <c r="R1163" i="2"/>
  <c r="O1163" i="2"/>
  <c r="N1163" i="2"/>
  <c r="AM1162" i="2"/>
  <c r="AB1162" i="2"/>
  <c r="AA1162" i="2"/>
  <c r="R1162" i="2"/>
  <c r="O1162" i="2"/>
  <c r="N1162" i="2"/>
  <c r="AM1161" i="2"/>
  <c r="AB1161" i="2"/>
  <c r="AA1161" i="2"/>
  <c r="R1161" i="2"/>
  <c r="O1161" i="2"/>
  <c r="N1161" i="2"/>
  <c r="AM1160" i="2"/>
  <c r="AB1160" i="2"/>
  <c r="AA1160" i="2"/>
  <c r="R1160" i="2"/>
  <c r="O1160" i="2"/>
  <c r="N1160" i="2"/>
  <c r="AM1159" i="2"/>
  <c r="AB1159" i="2"/>
  <c r="AA1159" i="2"/>
  <c r="R1159" i="2"/>
  <c r="O1159" i="2"/>
  <c r="N1159" i="2"/>
  <c r="AB1158" i="2"/>
  <c r="AA1158" i="2"/>
  <c r="R1158" i="2"/>
  <c r="O1158" i="2"/>
  <c r="N1158" i="2"/>
  <c r="AB1157" i="2"/>
  <c r="AA1157" i="2"/>
  <c r="R1157" i="2"/>
  <c r="O1157" i="2"/>
  <c r="N1157" i="2"/>
  <c r="AM1156" i="2"/>
  <c r="AB1156" i="2"/>
  <c r="AA1156" i="2"/>
  <c r="R1156" i="2"/>
  <c r="O1156" i="2"/>
  <c r="N1156" i="2"/>
  <c r="AM1155" i="2"/>
  <c r="AB1155" i="2"/>
  <c r="AA1155" i="2"/>
  <c r="R1155" i="2"/>
  <c r="O1155" i="2"/>
  <c r="N1155" i="2"/>
  <c r="AB1154" i="2"/>
  <c r="AA1154" i="2"/>
  <c r="R1154" i="2"/>
  <c r="O1154" i="2"/>
  <c r="N1154" i="2"/>
  <c r="AB1153" i="2"/>
  <c r="AA1153" i="2"/>
  <c r="R1153" i="2"/>
  <c r="O1153" i="2"/>
  <c r="N1153" i="2"/>
  <c r="AM1152" i="2"/>
  <c r="AB1152" i="2"/>
  <c r="AA1152" i="2"/>
  <c r="R1152" i="2"/>
  <c r="O1152" i="2"/>
  <c r="N1152" i="2"/>
  <c r="AM1151" i="2"/>
  <c r="AB1151" i="2"/>
  <c r="AA1151" i="2"/>
  <c r="R1151" i="2"/>
  <c r="O1151" i="2"/>
  <c r="N1151" i="2"/>
  <c r="AM1150" i="2"/>
  <c r="AB1150" i="2"/>
  <c r="AA1150" i="2"/>
  <c r="R1150" i="2"/>
  <c r="O1150" i="2"/>
  <c r="N1150" i="2"/>
  <c r="AB1149" i="2"/>
  <c r="AA1149" i="2"/>
  <c r="R1149" i="2"/>
  <c r="O1149" i="2"/>
  <c r="N1149" i="2"/>
  <c r="AB1148" i="2"/>
  <c r="AA1148" i="2"/>
  <c r="R1148" i="2"/>
  <c r="O1148" i="2"/>
  <c r="N1148" i="2"/>
  <c r="AB1147" i="2"/>
  <c r="AA1147" i="2"/>
  <c r="R1147" i="2"/>
  <c r="O1147" i="2"/>
  <c r="N1147" i="2"/>
  <c r="AB1146" i="2"/>
  <c r="AA1146" i="2"/>
  <c r="R1146" i="2"/>
  <c r="O1146" i="2"/>
  <c r="N1146" i="2"/>
  <c r="AM1145" i="2"/>
  <c r="AB1145" i="2"/>
  <c r="AA1145" i="2"/>
  <c r="R1145" i="2"/>
  <c r="O1145" i="2"/>
  <c r="N1145" i="2"/>
  <c r="AB1144" i="2"/>
  <c r="AA1144" i="2"/>
  <c r="R1144" i="2"/>
  <c r="O1144" i="2"/>
  <c r="N1144" i="2"/>
  <c r="AB1143" i="2"/>
  <c r="AA1143" i="2"/>
  <c r="R1143" i="2"/>
  <c r="O1143" i="2"/>
  <c r="N1143" i="2"/>
  <c r="AB1142" i="2"/>
  <c r="AA1142" i="2"/>
  <c r="R1142" i="2"/>
  <c r="O1142" i="2"/>
  <c r="N1142" i="2"/>
  <c r="AB1141" i="2"/>
  <c r="AA1141" i="2"/>
  <c r="R1141" i="2"/>
  <c r="O1141" i="2"/>
  <c r="N1141" i="2"/>
  <c r="AM1140" i="2"/>
  <c r="AB1140" i="2"/>
  <c r="AA1140" i="2"/>
  <c r="R1140" i="2"/>
  <c r="O1140" i="2"/>
  <c r="N1140" i="2"/>
  <c r="AM1139" i="2"/>
  <c r="AB1139" i="2"/>
  <c r="AA1139" i="2"/>
  <c r="R1139" i="2"/>
  <c r="O1139" i="2"/>
  <c r="N1139" i="2"/>
  <c r="AM1138" i="2"/>
  <c r="AB1138" i="2"/>
  <c r="AA1138" i="2"/>
  <c r="R1138" i="2"/>
  <c r="O1138" i="2"/>
  <c r="N1138" i="2"/>
  <c r="AM1137" i="2"/>
  <c r="AB1137" i="2"/>
  <c r="AA1137" i="2"/>
  <c r="R1137" i="2"/>
  <c r="O1137" i="2"/>
  <c r="N1137" i="2"/>
  <c r="AB1136" i="2"/>
  <c r="AA1136" i="2"/>
  <c r="R1136" i="2"/>
  <c r="O1136" i="2"/>
  <c r="N1136" i="2"/>
  <c r="AB1135" i="2"/>
  <c r="AA1135" i="2"/>
  <c r="R1135" i="2"/>
  <c r="O1135" i="2"/>
  <c r="N1135" i="2"/>
  <c r="AM1134" i="2"/>
  <c r="AB1134" i="2"/>
  <c r="AA1134" i="2"/>
  <c r="R1134" i="2"/>
  <c r="O1134" i="2"/>
  <c r="N1134" i="2"/>
  <c r="AM1133" i="2"/>
  <c r="AB1133" i="2"/>
  <c r="AA1133" i="2"/>
  <c r="R1133" i="2"/>
  <c r="O1133" i="2"/>
  <c r="N1133" i="2"/>
  <c r="AB1132" i="2"/>
  <c r="AA1132" i="2"/>
  <c r="R1132" i="2"/>
  <c r="O1132" i="2"/>
  <c r="N1132" i="2"/>
  <c r="AB1131" i="2"/>
  <c r="AA1131" i="2"/>
  <c r="R1131" i="2"/>
  <c r="O1131" i="2"/>
  <c r="N1131" i="2"/>
  <c r="AM1130" i="2"/>
  <c r="AB1130" i="2"/>
  <c r="AA1130" i="2"/>
  <c r="R1130" i="2"/>
  <c r="O1130" i="2"/>
  <c r="N1130" i="2"/>
  <c r="AB1129" i="2"/>
  <c r="AA1129" i="2"/>
  <c r="R1129" i="2"/>
  <c r="O1129" i="2"/>
  <c r="N1129" i="2"/>
  <c r="AB1128" i="2"/>
  <c r="AA1128" i="2"/>
  <c r="R1128" i="2"/>
  <c r="O1128" i="2"/>
  <c r="N1128" i="2"/>
  <c r="AM1127" i="2"/>
  <c r="AB1127" i="2"/>
  <c r="AA1127" i="2"/>
  <c r="R1127" i="2"/>
  <c r="O1127" i="2"/>
  <c r="N1127" i="2"/>
  <c r="AB1126" i="2"/>
  <c r="AA1126" i="2"/>
  <c r="R1126" i="2"/>
  <c r="O1126" i="2"/>
  <c r="N1126" i="2"/>
  <c r="AB1125" i="2"/>
  <c r="AA1125" i="2"/>
  <c r="R1125" i="2"/>
  <c r="O1125" i="2"/>
  <c r="N1125" i="2"/>
  <c r="AM1124" i="2"/>
  <c r="AB1124" i="2"/>
  <c r="AA1124" i="2"/>
  <c r="R1124" i="2"/>
  <c r="O1124" i="2"/>
  <c r="N1124" i="2"/>
  <c r="AB1123" i="2"/>
  <c r="AA1123" i="2"/>
  <c r="R1123" i="2"/>
  <c r="O1123" i="2"/>
  <c r="N1123" i="2"/>
  <c r="AB1122" i="2"/>
  <c r="AA1122" i="2"/>
  <c r="R1122" i="2"/>
  <c r="O1122" i="2"/>
  <c r="N1122" i="2"/>
  <c r="AM1121" i="2"/>
  <c r="AB1121" i="2"/>
  <c r="AA1121" i="2"/>
  <c r="R1121" i="2"/>
  <c r="O1121" i="2"/>
  <c r="N1121" i="2"/>
  <c r="AB1120" i="2"/>
  <c r="AA1120" i="2"/>
  <c r="R1120" i="2"/>
  <c r="O1120" i="2"/>
  <c r="N1120" i="2"/>
  <c r="AM1119" i="2"/>
  <c r="AB1119" i="2"/>
  <c r="AA1119" i="2"/>
  <c r="R1119" i="2"/>
  <c r="O1119" i="2"/>
  <c r="N1119" i="2"/>
  <c r="AB1118" i="2"/>
  <c r="AA1118" i="2"/>
  <c r="R1118" i="2"/>
  <c r="O1118" i="2"/>
  <c r="N1118" i="2"/>
  <c r="AM1117" i="2"/>
  <c r="AB1117" i="2"/>
  <c r="AA1117" i="2"/>
  <c r="R1117" i="2"/>
  <c r="O1117" i="2"/>
  <c r="N1117" i="2"/>
  <c r="AB1116" i="2"/>
  <c r="AA1116" i="2"/>
  <c r="R1116" i="2"/>
  <c r="O1116" i="2"/>
  <c r="N1116" i="2"/>
  <c r="AB1115" i="2"/>
  <c r="AA1115" i="2"/>
  <c r="R1115" i="2"/>
  <c r="O1115" i="2"/>
  <c r="N1115" i="2"/>
  <c r="AM1114" i="2"/>
  <c r="AB1114" i="2"/>
  <c r="AA1114" i="2"/>
  <c r="R1114" i="2"/>
  <c r="O1114" i="2"/>
  <c r="N1114" i="2"/>
  <c r="AB1113" i="2"/>
  <c r="AA1113" i="2"/>
  <c r="R1113" i="2"/>
  <c r="O1113" i="2"/>
  <c r="N1113" i="2"/>
  <c r="AB1112" i="2"/>
  <c r="AA1112" i="2"/>
  <c r="R1112" i="2"/>
  <c r="O1112" i="2"/>
  <c r="N1112" i="2"/>
  <c r="AM1111" i="2"/>
  <c r="AB1111" i="2"/>
  <c r="AA1111" i="2"/>
  <c r="R1111" i="2"/>
  <c r="O1111" i="2"/>
  <c r="N1111" i="2"/>
  <c r="AB1110" i="2"/>
  <c r="AA1110" i="2"/>
  <c r="R1110" i="2"/>
  <c r="O1110" i="2"/>
  <c r="N1110" i="2"/>
  <c r="AB1109" i="2"/>
  <c r="AA1109" i="2"/>
  <c r="R1109" i="2"/>
  <c r="O1109" i="2"/>
  <c r="N1109" i="2"/>
  <c r="AB1108" i="2"/>
  <c r="AA1108" i="2"/>
  <c r="R1108" i="2"/>
  <c r="O1108" i="2"/>
  <c r="N1108" i="2"/>
  <c r="AB1107" i="2"/>
  <c r="AA1107" i="2"/>
  <c r="R1107" i="2"/>
  <c r="O1107" i="2"/>
  <c r="N1107" i="2"/>
  <c r="AB1106" i="2"/>
  <c r="AA1106" i="2"/>
  <c r="R1106" i="2"/>
  <c r="O1106" i="2"/>
  <c r="N1106" i="2"/>
  <c r="AB1105" i="2"/>
  <c r="AA1105" i="2"/>
  <c r="R1105" i="2"/>
  <c r="O1105" i="2"/>
  <c r="N1105" i="2"/>
  <c r="AB1104" i="2"/>
  <c r="AA1104" i="2"/>
  <c r="R1104" i="2"/>
  <c r="O1104" i="2"/>
  <c r="N1104" i="2"/>
  <c r="AM1103" i="2"/>
  <c r="AB1103" i="2"/>
  <c r="AA1103" i="2"/>
  <c r="R1103" i="2"/>
  <c r="O1103" i="2"/>
  <c r="N1103" i="2"/>
  <c r="AB1102" i="2"/>
  <c r="AA1102" i="2"/>
  <c r="R1102" i="2"/>
  <c r="O1102" i="2"/>
  <c r="N1102" i="2"/>
  <c r="AB1101" i="2"/>
  <c r="AA1101" i="2"/>
  <c r="R1101" i="2"/>
  <c r="O1101" i="2"/>
  <c r="N1101" i="2"/>
  <c r="AB1100" i="2"/>
  <c r="AA1100" i="2"/>
  <c r="R1100" i="2"/>
  <c r="O1100" i="2"/>
  <c r="N1100" i="2"/>
  <c r="AB1099" i="2"/>
  <c r="AA1099" i="2"/>
  <c r="R1099" i="2"/>
  <c r="O1099" i="2"/>
  <c r="N1099" i="2"/>
  <c r="AM1098" i="2"/>
  <c r="AB1098" i="2"/>
  <c r="AA1098" i="2"/>
  <c r="R1098" i="2"/>
  <c r="O1098" i="2"/>
  <c r="N1098" i="2"/>
  <c r="AB1097" i="2"/>
  <c r="AA1097" i="2"/>
  <c r="R1097" i="2"/>
  <c r="O1097" i="2"/>
  <c r="N1097" i="2"/>
  <c r="AB1096" i="2"/>
  <c r="AA1096" i="2"/>
  <c r="R1096" i="2"/>
  <c r="O1096" i="2"/>
  <c r="N1096" i="2"/>
  <c r="AM1095" i="2"/>
  <c r="AB1095" i="2"/>
  <c r="AA1095" i="2"/>
  <c r="R1095" i="2"/>
  <c r="O1095" i="2"/>
  <c r="N1095" i="2"/>
  <c r="AM1094" i="2"/>
  <c r="AB1094" i="2"/>
  <c r="AA1094" i="2"/>
  <c r="R1094" i="2"/>
  <c r="O1094" i="2"/>
  <c r="N1094" i="2"/>
  <c r="AM1093" i="2"/>
  <c r="AB1093" i="2"/>
  <c r="AA1093" i="2"/>
  <c r="R1093" i="2"/>
  <c r="O1093" i="2"/>
  <c r="N1093" i="2"/>
  <c r="AM1092" i="2"/>
  <c r="AB1092" i="2"/>
  <c r="AA1092" i="2"/>
  <c r="R1092" i="2"/>
  <c r="O1092" i="2"/>
  <c r="N1092" i="2"/>
  <c r="AM1091" i="2"/>
  <c r="AB1091" i="2"/>
  <c r="AA1091" i="2"/>
  <c r="R1091" i="2"/>
  <c r="O1091" i="2"/>
  <c r="N1091" i="2"/>
  <c r="AM1090" i="2"/>
  <c r="AB1090" i="2"/>
  <c r="AA1090" i="2"/>
  <c r="R1090" i="2"/>
  <c r="O1090" i="2"/>
  <c r="N1090" i="2"/>
  <c r="AM1089" i="2"/>
  <c r="AB1089" i="2"/>
  <c r="AA1089" i="2"/>
  <c r="R1089" i="2"/>
  <c r="O1089" i="2"/>
  <c r="N1089" i="2"/>
  <c r="AM1088" i="2"/>
  <c r="AB1088" i="2"/>
  <c r="AA1088" i="2"/>
  <c r="R1088" i="2"/>
  <c r="O1088" i="2"/>
  <c r="N1088" i="2"/>
  <c r="AM1087" i="2"/>
  <c r="AB1087" i="2"/>
  <c r="AA1087" i="2"/>
  <c r="R1087" i="2"/>
  <c r="O1087" i="2"/>
  <c r="N1087" i="2"/>
  <c r="AM1086" i="2"/>
  <c r="AB1086" i="2"/>
  <c r="AA1086" i="2"/>
  <c r="R1086" i="2"/>
  <c r="O1086" i="2"/>
  <c r="N1086" i="2"/>
  <c r="AM1085" i="2"/>
  <c r="AB1085" i="2"/>
  <c r="AA1085" i="2"/>
  <c r="R1085" i="2"/>
  <c r="O1085" i="2"/>
  <c r="N1085" i="2"/>
  <c r="AM1084" i="2"/>
  <c r="AB1084" i="2"/>
  <c r="AA1084" i="2"/>
  <c r="R1084" i="2"/>
  <c r="O1084" i="2"/>
  <c r="N1084" i="2"/>
  <c r="AM1083" i="2"/>
  <c r="AB1083" i="2"/>
  <c r="AA1083" i="2"/>
  <c r="R1083" i="2"/>
  <c r="O1083" i="2"/>
  <c r="N1083" i="2"/>
  <c r="AM1082" i="2"/>
  <c r="AB1082" i="2"/>
  <c r="AA1082" i="2"/>
  <c r="R1082" i="2"/>
  <c r="O1082" i="2"/>
  <c r="N1082" i="2"/>
  <c r="AM1081" i="2"/>
  <c r="AB1081" i="2"/>
  <c r="AA1081" i="2"/>
  <c r="R1081" i="2"/>
  <c r="O1081" i="2"/>
  <c r="N1081" i="2"/>
  <c r="AM1080" i="2"/>
  <c r="AB1080" i="2"/>
  <c r="AA1080" i="2"/>
  <c r="R1080" i="2"/>
  <c r="O1080" i="2"/>
  <c r="N1080" i="2"/>
  <c r="AM1079" i="2"/>
  <c r="AB1079" i="2"/>
  <c r="AA1079" i="2"/>
  <c r="R1079" i="2"/>
  <c r="O1079" i="2"/>
  <c r="N1079" i="2"/>
  <c r="AM1078" i="2"/>
  <c r="AB1078" i="2"/>
  <c r="AA1078" i="2"/>
  <c r="R1078" i="2"/>
  <c r="O1078" i="2"/>
  <c r="N1078" i="2"/>
  <c r="AM1077" i="2"/>
  <c r="AB1077" i="2"/>
  <c r="AA1077" i="2"/>
  <c r="R1077" i="2"/>
  <c r="O1077" i="2"/>
  <c r="N1077" i="2"/>
  <c r="AM1076" i="2"/>
  <c r="AB1076" i="2"/>
  <c r="AA1076" i="2"/>
  <c r="R1076" i="2"/>
  <c r="O1076" i="2"/>
  <c r="N1076" i="2"/>
  <c r="AM1075" i="2"/>
  <c r="AB1075" i="2"/>
  <c r="AA1075" i="2"/>
  <c r="R1075" i="2"/>
  <c r="O1075" i="2"/>
  <c r="N1075" i="2"/>
  <c r="AM1074" i="2"/>
  <c r="AB1074" i="2"/>
  <c r="AA1074" i="2"/>
  <c r="R1074" i="2"/>
  <c r="O1074" i="2"/>
  <c r="N1074" i="2"/>
  <c r="AM1073" i="2"/>
  <c r="AB1073" i="2"/>
  <c r="AA1073" i="2"/>
  <c r="R1073" i="2"/>
  <c r="O1073" i="2"/>
  <c r="N1073" i="2"/>
  <c r="AM1072" i="2"/>
  <c r="AB1072" i="2"/>
  <c r="AA1072" i="2"/>
  <c r="R1072" i="2"/>
  <c r="O1072" i="2"/>
  <c r="N1072" i="2"/>
  <c r="AM1071" i="2"/>
  <c r="AB1071" i="2"/>
  <c r="AA1071" i="2"/>
  <c r="R1071" i="2"/>
  <c r="O1071" i="2"/>
  <c r="N1071" i="2"/>
  <c r="AM1070" i="2"/>
  <c r="AB1070" i="2"/>
  <c r="AA1070" i="2"/>
  <c r="R1070" i="2"/>
  <c r="O1070" i="2"/>
  <c r="N1070" i="2"/>
  <c r="AM1069" i="2"/>
  <c r="AB1069" i="2"/>
  <c r="AA1069" i="2"/>
  <c r="R1069" i="2"/>
  <c r="O1069" i="2"/>
  <c r="N1069" i="2"/>
  <c r="AM1068" i="2"/>
  <c r="AB1068" i="2"/>
  <c r="AA1068" i="2"/>
  <c r="R1068" i="2"/>
  <c r="O1068" i="2"/>
  <c r="N1068" i="2"/>
  <c r="AM1067" i="2"/>
  <c r="AB1067" i="2"/>
  <c r="AA1067" i="2"/>
  <c r="R1067" i="2"/>
  <c r="O1067" i="2"/>
  <c r="N1067" i="2"/>
  <c r="AM1066" i="2"/>
  <c r="AB1066" i="2"/>
  <c r="AA1066" i="2"/>
  <c r="R1066" i="2"/>
  <c r="O1066" i="2"/>
  <c r="N1066" i="2"/>
  <c r="AM1065" i="2"/>
  <c r="AB1065" i="2"/>
  <c r="AA1065" i="2"/>
  <c r="R1065" i="2"/>
  <c r="O1065" i="2"/>
  <c r="N1065" i="2"/>
  <c r="AM1064" i="2"/>
  <c r="AB1064" i="2"/>
  <c r="AA1064" i="2"/>
  <c r="R1064" i="2"/>
  <c r="O1064" i="2"/>
  <c r="N1064" i="2"/>
  <c r="AM1063" i="2"/>
  <c r="AB1063" i="2"/>
  <c r="AA1063" i="2"/>
  <c r="R1063" i="2"/>
  <c r="O1063" i="2"/>
  <c r="N1063" i="2"/>
  <c r="AM1062" i="2"/>
  <c r="AB1062" i="2"/>
  <c r="AA1062" i="2"/>
  <c r="R1062" i="2"/>
  <c r="O1062" i="2"/>
  <c r="N1062" i="2"/>
  <c r="AM1061" i="2"/>
  <c r="AB1061" i="2"/>
  <c r="AA1061" i="2"/>
  <c r="R1061" i="2"/>
  <c r="O1061" i="2"/>
  <c r="N1061" i="2"/>
  <c r="AM1060" i="2"/>
  <c r="AB1060" i="2"/>
  <c r="AA1060" i="2"/>
  <c r="R1060" i="2"/>
  <c r="O1060" i="2"/>
  <c r="N1060" i="2"/>
  <c r="AM1059" i="2"/>
  <c r="AB1059" i="2"/>
  <c r="AA1059" i="2"/>
  <c r="R1059" i="2"/>
  <c r="O1059" i="2"/>
  <c r="N1059" i="2"/>
  <c r="AM1058" i="2"/>
  <c r="AB1058" i="2"/>
  <c r="AA1058" i="2"/>
  <c r="R1058" i="2"/>
  <c r="O1058" i="2"/>
  <c r="N1058" i="2"/>
  <c r="AM1057" i="2"/>
  <c r="AB1057" i="2"/>
  <c r="AA1057" i="2"/>
  <c r="R1057" i="2"/>
  <c r="O1057" i="2"/>
  <c r="N1057" i="2"/>
  <c r="AM1056" i="2"/>
  <c r="AB1056" i="2"/>
  <c r="AA1056" i="2"/>
  <c r="R1056" i="2"/>
  <c r="O1056" i="2"/>
  <c r="N1056" i="2"/>
  <c r="AM1055" i="2"/>
  <c r="AB1055" i="2"/>
  <c r="AA1055" i="2"/>
  <c r="R1055" i="2"/>
  <c r="O1055" i="2"/>
  <c r="N1055" i="2"/>
  <c r="AM1054" i="2"/>
  <c r="AB1054" i="2"/>
  <c r="AA1054" i="2"/>
  <c r="R1054" i="2"/>
  <c r="O1054" i="2"/>
  <c r="N1054" i="2"/>
  <c r="AM1053" i="2"/>
  <c r="AB1053" i="2"/>
  <c r="AA1053" i="2"/>
  <c r="R1053" i="2"/>
  <c r="O1053" i="2"/>
  <c r="N1053" i="2"/>
  <c r="AM1052" i="2"/>
  <c r="AB1052" i="2"/>
  <c r="AA1052" i="2"/>
  <c r="R1052" i="2"/>
  <c r="O1052" i="2"/>
  <c r="N1052" i="2"/>
  <c r="AM1051" i="2"/>
  <c r="AB1051" i="2"/>
  <c r="AA1051" i="2"/>
  <c r="R1051" i="2"/>
  <c r="O1051" i="2"/>
  <c r="N1051" i="2"/>
  <c r="AM1050" i="2"/>
  <c r="AB1050" i="2"/>
  <c r="AA1050" i="2"/>
  <c r="R1050" i="2"/>
  <c r="O1050" i="2"/>
  <c r="N1050" i="2"/>
  <c r="AM1049" i="2"/>
  <c r="AB1049" i="2"/>
  <c r="AA1049" i="2"/>
  <c r="R1049" i="2"/>
  <c r="O1049" i="2"/>
  <c r="N1049" i="2"/>
  <c r="AM1048" i="2"/>
  <c r="AB1048" i="2"/>
  <c r="AA1048" i="2"/>
  <c r="R1048" i="2"/>
  <c r="O1048" i="2"/>
  <c r="N1048" i="2"/>
  <c r="AM1047" i="2"/>
  <c r="AB1047" i="2"/>
  <c r="AA1047" i="2"/>
  <c r="R1047" i="2"/>
  <c r="O1047" i="2"/>
  <c r="N1047" i="2"/>
  <c r="AM1046" i="2"/>
  <c r="AB1046" i="2"/>
  <c r="AA1046" i="2"/>
  <c r="R1046" i="2"/>
  <c r="O1046" i="2"/>
  <c r="N1046" i="2"/>
  <c r="AM1045" i="2"/>
  <c r="AB1045" i="2"/>
  <c r="AA1045" i="2"/>
  <c r="R1045" i="2"/>
  <c r="O1045" i="2"/>
  <c r="N1045" i="2"/>
  <c r="AM1044" i="2"/>
  <c r="AB1044" i="2"/>
  <c r="AA1044" i="2"/>
  <c r="R1044" i="2"/>
  <c r="O1044" i="2"/>
  <c r="N1044" i="2"/>
  <c r="AM1043" i="2"/>
  <c r="AB1043" i="2"/>
  <c r="AA1043" i="2"/>
  <c r="R1043" i="2"/>
  <c r="O1043" i="2"/>
  <c r="N1043" i="2"/>
  <c r="AM1042" i="2"/>
  <c r="AB1042" i="2"/>
  <c r="AA1042" i="2"/>
  <c r="R1042" i="2"/>
  <c r="O1042" i="2"/>
  <c r="N1042" i="2"/>
  <c r="AM1041" i="2"/>
  <c r="AB1041" i="2"/>
  <c r="AA1041" i="2"/>
  <c r="R1041" i="2"/>
  <c r="O1041" i="2"/>
  <c r="N1041" i="2"/>
  <c r="AM1040" i="2"/>
  <c r="AB1040" i="2"/>
  <c r="AA1040" i="2"/>
  <c r="R1040" i="2"/>
  <c r="O1040" i="2"/>
  <c r="N1040" i="2"/>
  <c r="AM1039" i="2"/>
  <c r="AB1039" i="2"/>
  <c r="AA1039" i="2"/>
  <c r="R1039" i="2"/>
  <c r="O1039" i="2"/>
  <c r="N1039" i="2"/>
  <c r="AM1038" i="2"/>
  <c r="AB1038" i="2"/>
  <c r="AA1038" i="2"/>
  <c r="R1038" i="2"/>
  <c r="O1038" i="2"/>
  <c r="N1038" i="2"/>
  <c r="AM1037" i="2"/>
  <c r="AB1037" i="2"/>
  <c r="AA1037" i="2"/>
  <c r="R1037" i="2"/>
  <c r="O1037" i="2"/>
  <c r="N1037" i="2"/>
  <c r="AM1036" i="2"/>
  <c r="AB1036" i="2"/>
  <c r="AA1036" i="2"/>
  <c r="R1036" i="2"/>
  <c r="O1036" i="2"/>
  <c r="N1036" i="2"/>
  <c r="AM1035" i="2"/>
  <c r="AB1035" i="2"/>
  <c r="AA1035" i="2"/>
  <c r="R1035" i="2"/>
  <c r="O1035" i="2"/>
  <c r="N1035" i="2"/>
  <c r="AM1034" i="2"/>
  <c r="AB1034" i="2"/>
  <c r="AA1034" i="2"/>
  <c r="R1034" i="2"/>
  <c r="O1034" i="2"/>
  <c r="N1034" i="2"/>
  <c r="AM1033" i="2"/>
  <c r="AB1033" i="2"/>
  <c r="AA1033" i="2"/>
  <c r="R1033" i="2"/>
  <c r="O1033" i="2"/>
  <c r="N1033" i="2"/>
  <c r="AM1032" i="2"/>
  <c r="AB1032" i="2"/>
  <c r="AA1032" i="2"/>
  <c r="R1032" i="2"/>
  <c r="O1032" i="2"/>
  <c r="N1032" i="2"/>
  <c r="AM1031" i="2"/>
  <c r="AB1031" i="2"/>
  <c r="AA1031" i="2"/>
  <c r="R1031" i="2"/>
  <c r="O1031" i="2"/>
  <c r="N1031" i="2"/>
  <c r="AM1030" i="2"/>
  <c r="AB1030" i="2"/>
  <c r="AA1030" i="2"/>
  <c r="R1030" i="2"/>
  <c r="O1030" i="2"/>
  <c r="N1030" i="2"/>
  <c r="AM1029" i="2"/>
  <c r="AB1029" i="2"/>
  <c r="AA1029" i="2"/>
  <c r="R1029" i="2"/>
  <c r="O1029" i="2"/>
  <c r="N1029" i="2"/>
  <c r="AM1028" i="2"/>
  <c r="AB1028" i="2"/>
  <c r="AA1028" i="2"/>
  <c r="R1028" i="2"/>
  <c r="O1028" i="2"/>
  <c r="N1028" i="2"/>
  <c r="AM1027" i="2"/>
  <c r="AB1027" i="2"/>
  <c r="AA1027" i="2"/>
  <c r="R1027" i="2"/>
  <c r="O1027" i="2"/>
  <c r="N1027" i="2"/>
  <c r="AM1026" i="2"/>
  <c r="AB1026" i="2"/>
  <c r="AA1026" i="2"/>
  <c r="R1026" i="2"/>
  <c r="O1026" i="2"/>
  <c r="N1026" i="2"/>
  <c r="AM1025" i="2"/>
  <c r="AB1025" i="2"/>
  <c r="AA1025" i="2"/>
  <c r="R1025" i="2"/>
  <c r="O1025" i="2"/>
  <c r="N1025" i="2"/>
  <c r="AM1024" i="2"/>
  <c r="AB1024" i="2"/>
  <c r="AA1024" i="2"/>
  <c r="R1024" i="2"/>
  <c r="O1024" i="2"/>
  <c r="N1024" i="2"/>
  <c r="AM1023" i="2"/>
  <c r="AB1023" i="2"/>
  <c r="AA1023" i="2"/>
  <c r="R1023" i="2"/>
  <c r="O1023" i="2"/>
  <c r="N1023" i="2"/>
  <c r="AM1022" i="2"/>
  <c r="AB1022" i="2"/>
  <c r="AA1022" i="2"/>
  <c r="R1022" i="2"/>
  <c r="O1022" i="2"/>
  <c r="N1022" i="2"/>
  <c r="AM1021" i="2"/>
  <c r="AB1021" i="2"/>
  <c r="AA1021" i="2"/>
  <c r="R1021" i="2"/>
  <c r="O1021" i="2"/>
  <c r="N1021" i="2"/>
  <c r="AM1020" i="2"/>
  <c r="AB1020" i="2"/>
  <c r="AA1020" i="2"/>
  <c r="R1020" i="2"/>
  <c r="O1020" i="2"/>
  <c r="N1020" i="2"/>
  <c r="AM1019" i="2"/>
  <c r="AB1019" i="2"/>
  <c r="AA1019" i="2"/>
  <c r="R1019" i="2"/>
  <c r="O1019" i="2"/>
  <c r="N1019" i="2"/>
  <c r="AM1018" i="2"/>
  <c r="AB1018" i="2"/>
  <c r="AA1018" i="2"/>
  <c r="R1018" i="2"/>
  <c r="O1018" i="2"/>
  <c r="N1018" i="2"/>
  <c r="AM1017" i="2"/>
  <c r="AB1017" i="2"/>
  <c r="AA1017" i="2"/>
  <c r="R1017" i="2"/>
  <c r="O1017" i="2"/>
  <c r="N1017" i="2"/>
  <c r="AM1016" i="2"/>
  <c r="AB1016" i="2"/>
  <c r="AA1016" i="2"/>
  <c r="R1016" i="2"/>
  <c r="O1016" i="2"/>
  <c r="N1016" i="2"/>
  <c r="AM1015" i="2"/>
  <c r="AB1015" i="2"/>
  <c r="AA1015" i="2"/>
  <c r="R1015" i="2"/>
  <c r="O1015" i="2"/>
  <c r="N1015" i="2"/>
  <c r="AM1014" i="2"/>
  <c r="AB1014" i="2"/>
  <c r="AA1014" i="2"/>
  <c r="R1014" i="2"/>
  <c r="O1014" i="2"/>
  <c r="N1014" i="2"/>
  <c r="AM1013" i="2"/>
  <c r="AB1013" i="2"/>
  <c r="AA1013" i="2"/>
  <c r="R1013" i="2"/>
  <c r="O1013" i="2"/>
  <c r="N1013" i="2"/>
  <c r="AM1012" i="2"/>
  <c r="AB1012" i="2"/>
  <c r="AA1012" i="2"/>
  <c r="R1012" i="2"/>
  <c r="O1012" i="2"/>
  <c r="N1012" i="2"/>
  <c r="AM1011" i="2"/>
  <c r="AB1011" i="2"/>
  <c r="AA1011" i="2"/>
  <c r="R1011" i="2"/>
  <c r="O1011" i="2"/>
  <c r="N1011" i="2"/>
  <c r="AM1010" i="2"/>
  <c r="AB1010" i="2"/>
  <c r="AA1010" i="2"/>
  <c r="R1010" i="2"/>
  <c r="O1010" i="2"/>
  <c r="N1010" i="2"/>
  <c r="AM1009" i="2"/>
  <c r="AB1009" i="2"/>
  <c r="AA1009" i="2"/>
  <c r="R1009" i="2"/>
  <c r="O1009" i="2"/>
  <c r="N1009" i="2"/>
  <c r="AM1008" i="2"/>
  <c r="AB1008" i="2"/>
  <c r="AA1008" i="2"/>
  <c r="R1008" i="2"/>
  <c r="O1008" i="2"/>
  <c r="N1008" i="2"/>
  <c r="AM1007" i="2"/>
  <c r="AB1007" i="2"/>
  <c r="AA1007" i="2"/>
  <c r="R1007" i="2"/>
  <c r="O1007" i="2"/>
  <c r="N1007" i="2"/>
  <c r="AM1006" i="2"/>
  <c r="AB1006" i="2"/>
  <c r="AA1006" i="2"/>
  <c r="R1006" i="2"/>
  <c r="O1006" i="2"/>
  <c r="N1006" i="2"/>
  <c r="AM1005" i="2"/>
  <c r="AB1005" i="2"/>
  <c r="AA1005" i="2"/>
  <c r="R1005" i="2"/>
  <c r="O1005" i="2"/>
  <c r="N1005" i="2"/>
  <c r="AM1004" i="2"/>
  <c r="AB1004" i="2"/>
  <c r="AA1004" i="2"/>
  <c r="R1004" i="2"/>
  <c r="O1004" i="2"/>
  <c r="N1004" i="2"/>
  <c r="AM1003" i="2"/>
  <c r="AB1003" i="2"/>
  <c r="AA1003" i="2"/>
  <c r="R1003" i="2"/>
  <c r="O1003" i="2"/>
  <c r="N1003" i="2"/>
  <c r="AM1002" i="2"/>
  <c r="AB1002" i="2"/>
  <c r="AA1002" i="2"/>
  <c r="R1002" i="2"/>
  <c r="O1002" i="2"/>
  <c r="N1002" i="2"/>
  <c r="AM1001" i="2"/>
  <c r="AB1001" i="2"/>
  <c r="AA1001" i="2"/>
  <c r="R1001" i="2"/>
  <c r="O1001" i="2"/>
  <c r="N1001" i="2"/>
  <c r="AM1000" i="2"/>
  <c r="AB1000" i="2"/>
  <c r="AA1000" i="2"/>
  <c r="R1000" i="2"/>
  <c r="O1000" i="2"/>
  <c r="N1000" i="2"/>
  <c r="AM999" i="2"/>
  <c r="AB999" i="2"/>
  <c r="AA999" i="2"/>
  <c r="R999" i="2"/>
  <c r="O999" i="2"/>
  <c r="N999" i="2"/>
  <c r="AM998" i="2"/>
  <c r="AB998" i="2"/>
  <c r="AA998" i="2"/>
  <c r="R998" i="2"/>
  <c r="O998" i="2"/>
  <c r="N998" i="2"/>
  <c r="AM997" i="2"/>
  <c r="AB997" i="2"/>
  <c r="AA997" i="2"/>
  <c r="R997" i="2"/>
  <c r="O997" i="2"/>
  <c r="N997" i="2"/>
  <c r="AM996" i="2"/>
  <c r="AB996" i="2"/>
  <c r="AA996" i="2"/>
  <c r="R996" i="2"/>
  <c r="O996" i="2"/>
  <c r="N996" i="2"/>
  <c r="AM995" i="2"/>
  <c r="AB995" i="2"/>
  <c r="AA995" i="2"/>
  <c r="R995" i="2"/>
  <c r="O995" i="2"/>
  <c r="N995" i="2"/>
  <c r="AM994" i="2"/>
  <c r="AB994" i="2"/>
  <c r="AA994" i="2"/>
  <c r="R994" i="2"/>
  <c r="O994" i="2"/>
  <c r="N994" i="2"/>
  <c r="AM993" i="2"/>
  <c r="AB993" i="2"/>
  <c r="AA993" i="2"/>
  <c r="R993" i="2"/>
  <c r="O993" i="2"/>
  <c r="N993" i="2"/>
  <c r="AM992" i="2"/>
  <c r="AB992" i="2"/>
  <c r="AA992" i="2"/>
  <c r="R992" i="2"/>
  <c r="O992" i="2"/>
  <c r="N992" i="2"/>
  <c r="AM991" i="2"/>
  <c r="AB991" i="2"/>
  <c r="AA991" i="2"/>
  <c r="R991" i="2"/>
  <c r="O991" i="2"/>
  <c r="N991" i="2"/>
  <c r="AM990" i="2"/>
  <c r="AB990" i="2"/>
  <c r="AA990" i="2"/>
  <c r="R990" i="2"/>
  <c r="O990" i="2"/>
  <c r="N990" i="2"/>
  <c r="AM989" i="2"/>
  <c r="AB989" i="2"/>
  <c r="AA989" i="2"/>
  <c r="R989" i="2"/>
  <c r="O989" i="2"/>
  <c r="N989" i="2"/>
  <c r="AM988" i="2"/>
  <c r="AB988" i="2"/>
  <c r="AA988" i="2"/>
  <c r="R988" i="2"/>
  <c r="O988" i="2"/>
  <c r="N988" i="2"/>
  <c r="AM987" i="2"/>
  <c r="AB987" i="2"/>
  <c r="AA987" i="2"/>
  <c r="R987" i="2"/>
  <c r="O987" i="2"/>
  <c r="N987" i="2"/>
  <c r="AM986" i="2"/>
  <c r="AB986" i="2"/>
  <c r="AA986" i="2"/>
  <c r="R986" i="2"/>
  <c r="O986" i="2"/>
  <c r="N986" i="2"/>
  <c r="AM985" i="2"/>
  <c r="AB985" i="2"/>
  <c r="AA985" i="2"/>
  <c r="R985" i="2"/>
  <c r="O985" i="2"/>
  <c r="N985" i="2"/>
  <c r="AM984" i="2"/>
  <c r="AB984" i="2"/>
  <c r="AA984" i="2"/>
  <c r="R984" i="2"/>
  <c r="O984" i="2"/>
  <c r="N984" i="2"/>
  <c r="AM983" i="2"/>
  <c r="AB983" i="2"/>
  <c r="AA983" i="2"/>
  <c r="R983" i="2"/>
  <c r="O983" i="2"/>
  <c r="N983" i="2"/>
  <c r="AM982" i="2"/>
  <c r="AB982" i="2"/>
  <c r="AA982" i="2"/>
  <c r="R982" i="2"/>
  <c r="O982" i="2"/>
  <c r="N982" i="2"/>
  <c r="AM981" i="2"/>
  <c r="AB981" i="2"/>
  <c r="AA981" i="2"/>
  <c r="R981" i="2"/>
  <c r="O981" i="2"/>
  <c r="N981" i="2"/>
  <c r="AM980" i="2"/>
  <c r="AB980" i="2"/>
  <c r="AA980" i="2"/>
  <c r="R980" i="2"/>
  <c r="O980" i="2"/>
  <c r="N980" i="2"/>
  <c r="AM979" i="2"/>
  <c r="AB979" i="2"/>
  <c r="AA979" i="2"/>
  <c r="R979" i="2"/>
  <c r="O979" i="2"/>
  <c r="N979" i="2"/>
  <c r="AM978" i="2"/>
  <c r="AB978" i="2"/>
  <c r="AA978" i="2"/>
  <c r="R978" i="2"/>
  <c r="O978" i="2"/>
  <c r="N978" i="2"/>
  <c r="AM977" i="2"/>
  <c r="AB977" i="2"/>
  <c r="AA977" i="2"/>
  <c r="R977" i="2"/>
  <c r="O977" i="2"/>
  <c r="N977" i="2"/>
  <c r="AM976" i="2"/>
  <c r="AB976" i="2"/>
  <c r="AA976" i="2"/>
  <c r="R976" i="2"/>
  <c r="O976" i="2"/>
  <c r="N976" i="2"/>
  <c r="AM975" i="2"/>
  <c r="AB975" i="2"/>
  <c r="AA975" i="2"/>
  <c r="R975" i="2"/>
  <c r="O975" i="2"/>
  <c r="N975" i="2"/>
  <c r="AM974" i="2"/>
  <c r="AB974" i="2"/>
  <c r="AA974" i="2"/>
  <c r="R974" i="2"/>
  <c r="O974" i="2"/>
  <c r="N974" i="2"/>
  <c r="AM973" i="2"/>
  <c r="AB973" i="2"/>
  <c r="AA973" i="2"/>
  <c r="R973" i="2"/>
  <c r="O973" i="2"/>
  <c r="N973" i="2"/>
  <c r="AM972" i="2"/>
  <c r="AB972" i="2"/>
  <c r="AA972" i="2"/>
  <c r="R972" i="2"/>
  <c r="O972" i="2"/>
  <c r="N972" i="2"/>
  <c r="AM971" i="2"/>
  <c r="AB971" i="2"/>
  <c r="AA971" i="2"/>
  <c r="R971" i="2"/>
  <c r="O971" i="2"/>
  <c r="N971" i="2"/>
  <c r="AM970" i="2"/>
  <c r="AB970" i="2"/>
  <c r="AA970" i="2"/>
  <c r="R970" i="2"/>
  <c r="O970" i="2"/>
  <c r="N970" i="2"/>
  <c r="AM969" i="2"/>
  <c r="AB969" i="2"/>
  <c r="AA969" i="2"/>
  <c r="R969" i="2"/>
  <c r="O969" i="2"/>
  <c r="N969" i="2"/>
  <c r="AM968" i="2"/>
  <c r="AB968" i="2"/>
  <c r="AA968" i="2"/>
  <c r="R968" i="2"/>
  <c r="O968" i="2"/>
  <c r="N968" i="2"/>
  <c r="AM967" i="2"/>
  <c r="AB967" i="2"/>
  <c r="AA967" i="2"/>
  <c r="R967" i="2"/>
  <c r="O967" i="2"/>
  <c r="N967" i="2"/>
  <c r="AM966" i="2"/>
  <c r="AB966" i="2"/>
  <c r="AA966" i="2"/>
  <c r="R966" i="2"/>
  <c r="O966" i="2"/>
  <c r="N966" i="2"/>
  <c r="AM965" i="2"/>
  <c r="AB965" i="2"/>
  <c r="AA965" i="2"/>
  <c r="R965" i="2"/>
  <c r="O965" i="2"/>
  <c r="N965" i="2"/>
  <c r="AM964" i="2"/>
  <c r="AB964" i="2"/>
  <c r="AA964" i="2"/>
  <c r="R964" i="2"/>
  <c r="O964" i="2"/>
  <c r="N964" i="2"/>
  <c r="AM963" i="2"/>
  <c r="AB963" i="2"/>
  <c r="AA963" i="2"/>
  <c r="R963" i="2"/>
  <c r="O963" i="2"/>
  <c r="N963" i="2"/>
  <c r="AM962" i="2"/>
  <c r="AB962" i="2"/>
  <c r="AA962" i="2"/>
  <c r="R962" i="2"/>
  <c r="O962" i="2"/>
  <c r="N962" i="2"/>
  <c r="AM961" i="2"/>
  <c r="AB961" i="2"/>
  <c r="AA961" i="2"/>
  <c r="R961" i="2"/>
  <c r="O961" i="2"/>
  <c r="N961" i="2"/>
  <c r="AM960" i="2"/>
  <c r="AB960" i="2"/>
  <c r="AA960" i="2"/>
  <c r="R960" i="2"/>
  <c r="O960" i="2"/>
  <c r="N960" i="2"/>
  <c r="AM959" i="2"/>
  <c r="AB959" i="2"/>
  <c r="AA959" i="2"/>
  <c r="R959" i="2"/>
  <c r="O959" i="2"/>
  <c r="N959" i="2"/>
  <c r="AM958" i="2"/>
  <c r="AB958" i="2"/>
  <c r="AA958" i="2"/>
  <c r="R958" i="2"/>
  <c r="O958" i="2"/>
  <c r="N958" i="2"/>
  <c r="AM957" i="2"/>
  <c r="AB957" i="2"/>
  <c r="AA957" i="2"/>
  <c r="R957" i="2"/>
  <c r="O957" i="2"/>
  <c r="N957" i="2"/>
  <c r="AM956" i="2"/>
  <c r="AB956" i="2"/>
  <c r="AA956" i="2"/>
  <c r="R956" i="2"/>
  <c r="O956" i="2"/>
  <c r="N956" i="2"/>
  <c r="AM955" i="2"/>
  <c r="AB955" i="2"/>
  <c r="AA955" i="2"/>
  <c r="R955" i="2"/>
  <c r="O955" i="2"/>
  <c r="N955" i="2"/>
  <c r="AM954" i="2"/>
  <c r="AB954" i="2"/>
  <c r="AA954" i="2"/>
  <c r="R954" i="2"/>
  <c r="O954" i="2"/>
  <c r="N954" i="2"/>
  <c r="AM953" i="2"/>
  <c r="AB953" i="2"/>
  <c r="AA953" i="2"/>
  <c r="R953" i="2"/>
  <c r="O953" i="2"/>
  <c r="N953" i="2"/>
  <c r="AM952" i="2"/>
  <c r="AB952" i="2"/>
  <c r="AA952" i="2"/>
  <c r="R952" i="2"/>
  <c r="O952" i="2"/>
  <c r="N952" i="2"/>
  <c r="AM951" i="2"/>
  <c r="AB951" i="2"/>
  <c r="AA951" i="2"/>
  <c r="R951" i="2"/>
  <c r="O951" i="2"/>
  <c r="N951" i="2"/>
  <c r="AM950" i="2"/>
  <c r="AB950" i="2"/>
  <c r="AA950" i="2"/>
  <c r="R950" i="2"/>
  <c r="O950" i="2"/>
  <c r="N950" i="2"/>
  <c r="AM949" i="2"/>
  <c r="AB949" i="2"/>
  <c r="AA949" i="2"/>
  <c r="R949" i="2"/>
  <c r="O949" i="2"/>
  <c r="N949" i="2"/>
  <c r="AM948" i="2"/>
  <c r="AB948" i="2"/>
  <c r="AA948" i="2"/>
  <c r="R948" i="2"/>
  <c r="O948" i="2"/>
  <c r="N948" i="2"/>
  <c r="AM947" i="2"/>
  <c r="AB947" i="2"/>
  <c r="AA947" i="2"/>
  <c r="R947" i="2"/>
  <c r="O947" i="2"/>
  <c r="N947" i="2"/>
  <c r="AM946" i="2"/>
  <c r="AB946" i="2"/>
  <c r="AA946" i="2"/>
  <c r="R946" i="2"/>
  <c r="O946" i="2"/>
  <c r="N946" i="2"/>
  <c r="AM945" i="2"/>
  <c r="AB945" i="2"/>
  <c r="AA945" i="2"/>
  <c r="R945" i="2"/>
  <c r="O945" i="2"/>
  <c r="N945" i="2"/>
  <c r="AM944" i="2"/>
  <c r="AB944" i="2"/>
  <c r="AA944" i="2"/>
  <c r="R944" i="2"/>
  <c r="O944" i="2"/>
  <c r="N944" i="2"/>
  <c r="AM943" i="2"/>
  <c r="AB943" i="2"/>
  <c r="AA943" i="2"/>
  <c r="R943" i="2"/>
  <c r="O943" i="2"/>
  <c r="N943" i="2"/>
  <c r="AM942" i="2"/>
  <c r="AB942" i="2"/>
  <c r="AA942" i="2"/>
  <c r="R942" i="2"/>
  <c r="O942" i="2"/>
  <c r="N942" i="2"/>
  <c r="AM941" i="2"/>
  <c r="AB941" i="2"/>
  <c r="AA941" i="2"/>
  <c r="R941" i="2"/>
  <c r="O941" i="2"/>
  <c r="N941" i="2"/>
  <c r="AM940" i="2"/>
  <c r="AB940" i="2"/>
  <c r="AA940" i="2"/>
  <c r="R940" i="2"/>
  <c r="O940" i="2"/>
  <c r="N940" i="2"/>
  <c r="AM939" i="2"/>
  <c r="AB939" i="2"/>
  <c r="AA939" i="2"/>
  <c r="R939" i="2"/>
  <c r="O939" i="2"/>
  <c r="N939" i="2"/>
  <c r="AM938" i="2"/>
  <c r="AB938" i="2"/>
  <c r="AA938" i="2"/>
  <c r="R938" i="2"/>
  <c r="O938" i="2"/>
  <c r="N938" i="2"/>
  <c r="AM937" i="2"/>
  <c r="AB937" i="2"/>
  <c r="AA937" i="2"/>
  <c r="R937" i="2"/>
  <c r="O937" i="2"/>
  <c r="N937" i="2"/>
  <c r="AM936" i="2"/>
  <c r="AB936" i="2"/>
  <c r="AA936" i="2"/>
  <c r="R936" i="2"/>
  <c r="O936" i="2"/>
  <c r="N936" i="2"/>
  <c r="AM935" i="2"/>
  <c r="AB935" i="2"/>
  <c r="AA935" i="2"/>
  <c r="R935" i="2"/>
  <c r="O935" i="2"/>
  <c r="N935" i="2"/>
  <c r="AM934" i="2"/>
  <c r="AB934" i="2"/>
  <c r="AA934" i="2"/>
  <c r="R934" i="2"/>
  <c r="O934" i="2"/>
  <c r="N934" i="2"/>
  <c r="AM933" i="2"/>
  <c r="AB933" i="2"/>
  <c r="AA933" i="2"/>
  <c r="R933" i="2"/>
  <c r="O933" i="2"/>
  <c r="N933" i="2"/>
  <c r="AM932" i="2"/>
  <c r="AB932" i="2"/>
  <c r="AA932" i="2"/>
  <c r="R932" i="2"/>
  <c r="O932" i="2"/>
  <c r="N932" i="2"/>
  <c r="AM931" i="2"/>
  <c r="AB931" i="2"/>
  <c r="AA931" i="2"/>
  <c r="R931" i="2"/>
  <c r="O931" i="2"/>
  <c r="N931" i="2"/>
  <c r="AM930" i="2"/>
  <c r="AB930" i="2"/>
  <c r="AA930" i="2"/>
  <c r="R930" i="2"/>
  <c r="O930" i="2"/>
  <c r="N930" i="2"/>
  <c r="AM929" i="2"/>
  <c r="AB929" i="2"/>
  <c r="AA929" i="2"/>
  <c r="R929" i="2"/>
  <c r="O929" i="2"/>
  <c r="N929" i="2"/>
  <c r="AB928" i="2"/>
  <c r="AA928" i="2"/>
  <c r="R928" i="2"/>
  <c r="O928" i="2"/>
  <c r="N928" i="2"/>
  <c r="AM927" i="2"/>
  <c r="AB927" i="2"/>
  <c r="AA927" i="2"/>
  <c r="R927" i="2"/>
  <c r="O927" i="2"/>
  <c r="N927" i="2"/>
  <c r="AM926" i="2"/>
  <c r="AB926" i="2"/>
  <c r="AA926" i="2"/>
  <c r="R926" i="2"/>
  <c r="O926" i="2"/>
  <c r="N926" i="2"/>
  <c r="AM925" i="2"/>
  <c r="AB925" i="2"/>
  <c r="AA925" i="2"/>
  <c r="R925" i="2"/>
  <c r="O925" i="2"/>
  <c r="N925" i="2"/>
  <c r="AM924" i="2"/>
  <c r="AB924" i="2"/>
  <c r="AA924" i="2"/>
  <c r="R924" i="2"/>
  <c r="O924" i="2"/>
  <c r="N924" i="2"/>
  <c r="AM923" i="2"/>
  <c r="AB923" i="2"/>
  <c r="AA923" i="2"/>
  <c r="R923" i="2"/>
  <c r="O923" i="2"/>
  <c r="N923" i="2"/>
  <c r="AB922" i="2"/>
  <c r="AA922" i="2"/>
  <c r="R922" i="2"/>
  <c r="O922" i="2"/>
  <c r="N922" i="2"/>
  <c r="AM921" i="2"/>
  <c r="AB921" i="2"/>
  <c r="AA921" i="2"/>
  <c r="R921" i="2"/>
  <c r="O921" i="2"/>
  <c r="N921" i="2"/>
  <c r="AM920" i="2"/>
  <c r="AB920" i="2"/>
  <c r="AA920" i="2"/>
  <c r="R920" i="2"/>
  <c r="O920" i="2"/>
  <c r="N920" i="2"/>
  <c r="AM919" i="2"/>
  <c r="AB919" i="2"/>
  <c r="AA919" i="2"/>
  <c r="R919" i="2"/>
  <c r="O919" i="2"/>
  <c r="N919" i="2"/>
  <c r="AM918" i="2"/>
  <c r="AB918" i="2"/>
  <c r="AA918" i="2"/>
  <c r="R918" i="2"/>
  <c r="O918" i="2"/>
  <c r="N918" i="2"/>
  <c r="AM917" i="2"/>
  <c r="AB917" i="2"/>
  <c r="AA917" i="2"/>
  <c r="R917" i="2"/>
  <c r="O917" i="2"/>
  <c r="N917" i="2"/>
  <c r="AB916" i="2"/>
  <c r="AA916" i="2"/>
  <c r="R916" i="2"/>
  <c r="O916" i="2"/>
  <c r="N916" i="2"/>
  <c r="AM915" i="2"/>
  <c r="AB915" i="2"/>
  <c r="AA915" i="2"/>
  <c r="R915" i="2"/>
  <c r="O915" i="2"/>
  <c r="N915" i="2"/>
  <c r="AM914" i="2"/>
  <c r="AB914" i="2"/>
  <c r="AA914" i="2"/>
  <c r="R914" i="2"/>
  <c r="O914" i="2"/>
  <c r="N914" i="2"/>
  <c r="AM913" i="2"/>
  <c r="AB913" i="2"/>
  <c r="AA913" i="2"/>
  <c r="R913" i="2"/>
  <c r="O913" i="2"/>
  <c r="N913" i="2"/>
  <c r="AM912" i="2"/>
  <c r="AB912" i="2"/>
  <c r="AA912" i="2"/>
  <c r="R912" i="2"/>
  <c r="O912" i="2"/>
  <c r="N912" i="2"/>
  <c r="AM911" i="2"/>
  <c r="AB911" i="2"/>
  <c r="AA911" i="2"/>
  <c r="R911" i="2"/>
  <c r="O911" i="2"/>
  <c r="N911" i="2"/>
  <c r="AB910" i="2"/>
  <c r="AA910" i="2"/>
  <c r="R910" i="2"/>
  <c r="O910" i="2"/>
  <c r="N910" i="2"/>
  <c r="AM909" i="2"/>
  <c r="AB909" i="2"/>
  <c r="AA909" i="2"/>
  <c r="R909" i="2"/>
  <c r="O909" i="2"/>
  <c r="N909" i="2"/>
  <c r="AM908" i="2"/>
  <c r="AB908" i="2"/>
  <c r="AA908" i="2"/>
  <c r="R908" i="2"/>
  <c r="O908" i="2"/>
  <c r="N908" i="2"/>
  <c r="AM907" i="2"/>
  <c r="AB907" i="2"/>
  <c r="AA907" i="2"/>
  <c r="R907" i="2"/>
  <c r="O907" i="2"/>
  <c r="N907" i="2"/>
  <c r="AM906" i="2"/>
  <c r="AB906" i="2"/>
  <c r="AA906" i="2"/>
  <c r="R906" i="2"/>
  <c r="O906" i="2"/>
  <c r="N906" i="2"/>
  <c r="AM905" i="2"/>
  <c r="AB905" i="2"/>
  <c r="AA905" i="2"/>
  <c r="R905" i="2"/>
  <c r="O905" i="2"/>
  <c r="N905" i="2"/>
  <c r="AB904" i="2"/>
  <c r="AA904" i="2"/>
  <c r="R904" i="2"/>
  <c r="O904" i="2"/>
  <c r="N904" i="2"/>
  <c r="AM903" i="2"/>
  <c r="AB903" i="2"/>
  <c r="AA903" i="2"/>
  <c r="R903" i="2"/>
  <c r="O903" i="2"/>
  <c r="N903" i="2"/>
  <c r="AM902" i="2"/>
  <c r="AB902" i="2"/>
  <c r="AA902" i="2"/>
  <c r="R902" i="2"/>
  <c r="O902" i="2"/>
  <c r="N902" i="2"/>
  <c r="AM901" i="2"/>
  <c r="AB901" i="2"/>
  <c r="AA901" i="2"/>
  <c r="R901" i="2"/>
  <c r="O901" i="2"/>
  <c r="N901" i="2"/>
  <c r="AM900" i="2"/>
  <c r="AB900" i="2"/>
  <c r="AA900" i="2"/>
  <c r="R900" i="2"/>
  <c r="O900" i="2"/>
  <c r="N900" i="2"/>
  <c r="AB899" i="2"/>
  <c r="AA899" i="2"/>
  <c r="R899" i="2"/>
  <c r="O899" i="2"/>
  <c r="N899" i="2"/>
  <c r="AM898" i="2"/>
  <c r="AB898" i="2"/>
  <c r="AA898" i="2"/>
  <c r="R898" i="2"/>
  <c r="O898" i="2"/>
  <c r="N898" i="2"/>
  <c r="AM897" i="2"/>
  <c r="AB897" i="2"/>
  <c r="AA897" i="2"/>
  <c r="R897" i="2"/>
  <c r="O897" i="2"/>
  <c r="N897" i="2"/>
  <c r="AM896" i="2"/>
  <c r="AB896" i="2"/>
  <c r="AA896" i="2"/>
  <c r="R896" i="2"/>
  <c r="O896" i="2"/>
  <c r="N896" i="2"/>
  <c r="AM895" i="2"/>
  <c r="AB895" i="2"/>
  <c r="AA895" i="2"/>
  <c r="R895" i="2"/>
  <c r="O895" i="2"/>
  <c r="N895" i="2"/>
  <c r="AM894" i="2"/>
  <c r="AB894" i="2"/>
  <c r="AA894" i="2"/>
  <c r="R894" i="2"/>
  <c r="O894" i="2"/>
  <c r="N894" i="2"/>
  <c r="AM893" i="2"/>
  <c r="AB893" i="2"/>
  <c r="AA893" i="2"/>
  <c r="R893" i="2"/>
  <c r="O893" i="2"/>
  <c r="N893" i="2"/>
  <c r="AM892" i="2"/>
  <c r="AB892" i="2"/>
  <c r="AA892" i="2"/>
  <c r="R892" i="2"/>
  <c r="O892" i="2"/>
  <c r="N892" i="2"/>
  <c r="AM891" i="2"/>
  <c r="AB891" i="2"/>
  <c r="AA891" i="2"/>
  <c r="R891" i="2"/>
  <c r="O891" i="2"/>
  <c r="N891" i="2"/>
  <c r="AM890" i="2"/>
  <c r="AB890" i="2"/>
  <c r="AA890" i="2"/>
  <c r="R890" i="2"/>
  <c r="O890" i="2"/>
  <c r="N890" i="2"/>
  <c r="AM889" i="2"/>
  <c r="AB889" i="2"/>
  <c r="AA889" i="2"/>
  <c r="R889" i="2"/>
  <c r="O889" i="2"/>
  <c r="N889" i="2"/>
  <c r="AM888" i="2"/>
  <c r="AB888" i="2"/>
  <c r="AA888" i="2"/>
  <c r="R888" i="2"/>
  <c r="O888" i="2"/>
  <c r="N888" i="2"/>
  <c r="AM887" i="2"/>
  <c r="AB887" i="2"/>
  <c r="AA887" i="2"/>
  <c r="R887" i="2"/>
  <c r="O887" i="2"/>
  <c r="N887" i="2"/>
  <c r="AM886" i="2"/>
  <c r="AB886" i="2"/>
  <c r="AA886" i="2"/>
  <c r="R886" i="2"/>
  <c r="O886" i="2"/>
  <c r="N886" i="2"/>
  <c r="AM885" i="2"/>
  <c r="AB885" i="2"/>
  <c r="AA885" i="2"/>
  <c r="R885" i="2"/>
  <c r="O885" i="2"/>
  <c r="N885" i="2"/>
  <c r="AM884" i="2"/>
  <c r="AB884" i="2"/>
  <c r="AA884" i="2"/>
  <c r="R884" i="2"/>
  <c r="O884" i="2"/>
  <c r="N884" i="2"/>
  <c r="AM883" i="2"/>
  <c r="AB883" i="2"/>
  <c r="AA883" i="2"/>
  <c r="R883" i="2"/>
  <c r="O883" i="2"/>
  <c r="N883" i="2"/>
  <c r="AM882" i="2"/>
  <c r="AB882" i="2"/>
  <c r="AA882" i="2"/>
  <c r="R882" i="2"/>
  <c r="O882" i="2"/>
  <c r="N882" i="2"/>
  <c r="AM881" i="2"/>
  <c r="AB881" i="2"/>
  <c r="AA881" i="2"/>
  <c r="R881" i="2"/>
  <c r="O881" i="2"/>
  <c r="N881" i="2"/>
  <c r="AM880" i="2"/>
  <c r="AB880" i="2"/>
  <c r="AA880" i="2"/>
  <c r="R880" i="2"/>
  <c r="O880" i="2"/>
  <c r="N880" i="2"/>
  <c r="AM879" i="2"/>
  <c r="AB879" i="2"/>
  <c r="AA879" i="2"/>
  <c r="R879" i="2"/>
  <c r="O879" i="2"/>
  <c r="N879" i="2"/>
  <c r="AM878" i="2"/>
  <c r="AB878" i="2"/>
  <c r="AA878" i="2"/>
  <c r="R878" i="2"/>
  <c r="O878" i="2"/>
  <c r="N878" i="2"/>
  <c r="AM877" i="2"/>
  <c r="AB877" i="2"/>
  <c r="AA877" i="2"/>
  <c r="R877" i="2"/>
  <c r="O877" i="2"/>
  <c r="N877" i="2"/>
  <c r="AM876" i="2"/>
  <c r="AB876" i="2"/>
  <c r="AA876" i="2"/>
  <c r="R876" i="2"/>
  <c r="O876" i="2"/>
  <c r="N876" i="2"/>
  <c r="AB875" i="2"/>
  <c r="AA875" i="2"/>
  <c r="R875" i="2"/>
  <c r="O875" i="2"/>
  <c r="N875" i="2"/>
  <c r="AB874" i="2"/>
  <c r="AA874" i="2"/>
  <c r="R874" i="2"/>
  <c r="O874" i="2"/>
  <c r="N874" i="2"/>
  <c r="AM873" i="2"/>
  <c r="AB873" i="2"/>
  <c r="AA873" i="2"/>
  <c r="R873" i="2"/>
  <c r="O873" i="2"/>
  <c r="N873" i="2"/>
  <c r="AB872" i="2"/>
  <c r="AA872" i="2"/>
  <c r="R872" i="2"/>
  <c r="O872" i="2"/>
  <c r="N872" i="2"/>
  <c r="AB871" i="2"/>
  <c r="AA871" i="2"/>
  <c r="R871" i="2"/>
  <c r="O871" i="2"/>
  <c r="N871" i="2"/>
  <c r="AB870" i="2"/>
  <c r="AA870" i="2"/>
  <c r="R870" i="2"/>
  <c r="O870" i="2"/>
  <c r="N870" i="2"/>
  <c r="AM869" i="2"/>
  <c r="AB869" i="2"/>
  <c r="AA869" i="2"/>
  <c r="R869" i="2"/>
  <c r="O869" i="2"/>
  <c r="N869" i="2"/>
  <c r="AB868" i="2"/>
  <c r="AA868" i="2"/>
  <c r="R868" i="2"/>
  <c r="O868" i="2"/>
  <c r="N868" i="2"/>
  <c r="AB867" i="2"/>
  <c r="AA867" i="2"/>
  <c r="R867" i="2"/>
  <c r="O867" i="2"/>
  <c r="N867" i="2"/>
  <c r="AM866" i="2"/>
  <c r="AB866" i="2"/>
  <c r="AA866" i="2"/>
  <c r="R866" i="2"/>
  <c r="O866" i="2"/>
  <c r="N866" i="2"/>
  <c r="AB865" i="2"/>
  <c r="AA865" i="2"/>
  <c r="R865" i="2"/>
  <c r="O865" i="2"/>
  <c r="N865" i="2"/>
  <c r="AB864" i="2"/>
  <c r="AA864" i="2"/>
  <c r="R864" i="2"/>
  <c r="O864" i="2"/>
  <c r="N864" i="2"/>
  <c r="AB863" i="2"/>
  <c r="AA863" i="2"/>
  <c r="R863" i="2"/>
  <c r="O863" i="2"/>
  <c r="N863" i="2"/>
  <c r="AM862" i="2"/>
  <c r="AB862" i="2"/>
  <c r="AA862" i="2"/>
  <c r="R862" i="2"/>
  <c r="O862" i="2"/>
  <c r="N862" i="2"/>
  <c r="AB861" i="2"/>
  <c r="AA861" i="2"/>
  <c r="R861" i="2"/>
  <c r="O861" i="2"/>
  <c r="N861" i="2"/>
  <c r="AB860" i="2"/>
  <c r="AA860" i="2"/>
  <c r="R860" i="2"/>
  <c r="O860" i="2"/>
  <c r="N860" i="2"/>
  <c r="AM859" i="2"/>
  <c r="AB859" i="2"/>
  <c r="AA859" i="2"/>
  <c r="R859" i="2"/>
  <c r="O859" i="2"/>
  <c r="N859" i="2"/>
  <c r="AB858" i="2"/>
  <c r="AA858" i="2"/>
  <c r="R858" i="2"/>
  <c r="O858" i="2"/>
  <c r="N858" i="2"/>
  <c r="AB857" i="2"/>
  <c r="AA857" i="2"/>
  <c r="R857" i="2"/>
  <c r="O857" i="2"/>
  <c r="N857" i="2"/>
  <c r="AB856" i="2"/>
  <c r="AA856" i="2"/>
  <c r="R856" i="2"/>
  <c r="O856" i="2"/>
  <c r="N856" i="2"/>
  <c r="AM855" i="2"/>
  <c r="AB855" i="2"/>
  <c r="AA855" i="2"/>
  <c r="R855" i="2"/>
  <c r="O855" i="2"/>
  <c r="N855" i="2"/>
  <c r="AM854" i="2"/>
  <c r="AB854" i="2"/>
  <c r="AA854" i="2"/>
  <c r="R854" i="2"/>
  <c r="O854" i="2"/>
  <c r="N854" i="2"/>
  <c r="AM853" i="2"/>
  <c r="AB853" i="2"/>
  <c r="AA853" i="2"/>
  <c r="R853" i="2"/>
  <c r="O853" i="2"/>
  <c r="N853" i="2"/>
  <c r="AM852" i="2"/>
  <c r="AB852" i="2"/>
  <c r="AA852" i="2"/>
  <c r="R852" i="2"/>
  <c r="O852" i="2"/>
  <c r="N852" i="2"/>
  <c r="AB851" i="2"/>
  <c r="AA851" i="2"/>
  <c r="R851" i="2"/>
  <c r="O851" i="2"/>
  <c r="N851" i="2"/>
  <c r="AM850" i="2"/>
  <c r="AB850" i="2"/>
  <c r="AA850" i="2"/>
  <c r="R850" i="2"/>
  <c r="O850" i="2"/>
  <c r="N850" i="2"/>
  <c r="AM849" i="2"/>
  <c r="AB849" i="2"/>
  <c r="AA849" i="2"/>
  <c r="R849" i="2"/>
  <c r="O849" i="2"/>
  <c r="N849" i="2"/>
  <c r="AB848" i="2"/>
  <c r="AA848" i="2"/>
  <c r="R848" i="2"/>
  <c r="O848" i="2"/>
  <c r="N848" i="2"/>
  <c r="AM847" i="2"/>
  <c r="AB847" i="2"/>
  <c r="AA847" i="2"/>
  <c r="R847" i="2"/>
  <c r="O847" i="2"/>
  <c r="N847" i="2"/>
  <c r="AM846" i="2"/>
  <c r="AB846" i="2"/>
  <c r="AA846" i="2"/>
  <c r="R846" i="2"/>
  <c r="O846" i="2"/>
  <c r="N846" i="2"/>
  <c r="AB845" i="2"/>
  <c r="AA845" i="2"/>
  <c r="R845" i="2"/>
  <c r="O845" i="2"/>
  <c r="N845" i="2"/>
  <c r="AM844" i="2"/>
  <c r="AB844" i="2"/>
  <c r="AA844" i="2"/>
  <c r="R844" i="2"/>
  <c r="O844" i="2"/>
  <c r="N844" i="2"/>
  <c r="AM843" i="2"/>
  <c r="AB843" i="2"/>
  <c r="AA843" i="2"/>
  <c r="R843" i="2"/>
  <c r="O843" i="2"/>
  <c r="N843" i="2"/>
  <c r="AB842" i="2"/>
  <c r="AA842" i="2"/>
  <c r="R842" i="2"/>
  <c r="O842" i="2"/>
  <c r="N842" i="2"/>
  <c r="AM841" i="2"/>
  <c r="AB841" i="2"/>
  <c r="AA841" i="2"/>
  <c r="R841" i="2"/>
  <c r="O841" i="2"/>
  <c r="N841" i="2"/>
  <c r="AM840" i="2"/>
  <c r="AB840" i="2"/>
  <c r="AA840" i="2"/>
  <c r="R840" i="2"/>
  <c r="O840" i="2"/>
  <c r="N840" i="2"/>
  <c r="AB839" i="2"/>
  <c r="AA839" i="2"/>
  <c r="R839" i="2"/>
  <c r="O839" i="2"/>
  <c r="N839" i="2"/>
  <c r="AM838" i="2"/>
  <c r="AB838" i="2"/>
  <c r="AA838" i="2"/>
  <c r="R838" i="2"/>
  <c r="O838" i="2"/>
  <c r="N838" i="2"/>
  <c r="AM837" i="2"/>
  <c r="AB837" i="2"/>
  <c r="AA837" i="2"/>
  <c r="R837" i="2"/>
  <c r="O837" i="2"/>
  <c r="N837" i="2"/>
  <c r="AB836" i="2"/>
  <c r="AA836" i="2"/>
  <c r="R836" i="2"/>
  <c r="O836" i="2"/>
  <c r="N836" i="2"/>
  <c r="AM835" i="2"/>
  <c r="AB835" i="2"/>
  <c r="AA835" i="2"/>
  <c r="R835" i="2"/>
  <c r="O835" i="2"/>
  <c r="N835" i="2"/>
  <c r="AM834" i="2"/>
  <c r="AB834" i="2"/>
  <c r="AA834" i="2"/>
  <c r="R834" i="2"/>
  <c r="O834" i="2"/>
  <c r="N834" i="2"/>
  <c r="AM833" i="2"/>
  <c r="AB833" i="2"/>
  <c r="AA833" i="2"/>
  <c r="R833" i="2"/>
  <c r="O833" i="2"/>
  <c r="N833" i="2"/>
  <c r="AM832" i="2"/>
  <c r="AB832" i="2"/>
  <c r="AA832" i="2"/>
  <c r="R832" i="2"/>
  <c r="O832" i="2"/>
  <c r="N832" i="2"/>
  <c r="AM831" i="2"/>
  <c r="AB831" i="2"/>
  <c r="AA831" i="2"/>
  <c r="R831" i="2"/>
  <c r="O831" i="2"/>
  <c r="N831" i="2"/>
  <c r="AM830" i="2"/>
  <c r="AB830" i="2"/>
  <c r="AA830" i="2"/>
  <c r="R830" i="2"/>
  <c r="O830" i="2"/>
  <c r="N830" i="2"/>
  <c r="AM829" i="2"/>
  <c r="AB829" i="2"/>
  <c r="AA829" i="2"/>
  <c r="R829" i="2"/>
  <c r="O829" i="2"/>
  <c r="N829" i="2"/>
  <c r="AM828" i="2"/>
  <c r="AB828" i="2"/>
  <c r="AA828" i="2"/>
  <c r="R828" i="2"/>
  <c r="O828" i="2"/>
  <c r="N828" i="2"/>
  <c r="AM827" i="2"/>
  <c r="AB827" i="2"/>
  <c r="AA827" i="2"/>
  <c r="R827" i="2"/>
  <c r="O827" i="2"/>
  <c r="N827" i="2"/>
  <c r="AM826" i="2"/>
  <c r="AB826" i="2"/>
  <c r="AA826" i="2"/>
  <c r="R826" i="2"/>
  <c r="O826" i="2"/>
  <c r="N826" i="2"/>
  <c r="AM825" i="2"/>
  <c r="AB825" i="2"/>
  <c r="AA825" i="2"/>
  <c r="R825" i="2"/>
  <c r="O825" i="2"/>
  <c r="N825" i="2"/>
  <c r="AM824" i="2"/>
  <c r="AB824" i="2"/>
  <c r="AA824" i="2"/>
  <c r="R824" i="2"/>
  <c r="O824" i="2"/>
  <c r="N824" i="2"/>
  <c r="AM823" i="2"/>
  <c r="AB823" i="2"/>
  <c r="AA823" i="2"/>
  <c r="R823" i="2"/>
  <c r="O823" i="2"/>
  <c r="N823" i="2"/>
  <c r="AM822" i="2"/>
  <c r="AB822" i="2"/>
  <c r="AA822" i="2"/>
  <c r="R822" i="2"/>
  <c r="O822" i="2"/>
  <c r="N822" i="2"/>
  <c r="AM821" i="2"/>
  <c r="AB821" i="2"/>
  <c r="AA821" i="2"/>
  <c r="R821" i="2"/>
  <c r="O821" i="2"/>
  <c r="N821" i="2"/>
  <c r="AM820" i="2"/>
  <c r="AB820" i="2"/>
  <c r="AA820" i="2"/>
  <c r="R820" i="2"/>
  <c r="O820" i="2"/>
  <c r="N820" i="2"/>
  <c r="AM819" i="2"/>
  <c r="AB819" i="2"/>
  <c r="AA819" i="2"/>
  <c r="R819" i="2"/>
  <c r="O819" i="2"/>
  <c r="N819" i="2"/>
  <c r="AM818" i="2"/>
  <c r="AB818" i="2"/>
  <c r="AA818" i="2"/>
  <c r="R818" i="2"/>
  <c r="O818" i="2"/>
  <c r="N818" i="2"/>
  <c r="AM817" i="2"/>
  <c r="AB817" i="2"/>
  <c r="AA817" i="2"/>
  <c r="R817" i="2"/>
  <c r="O817" i="2"/>
  <c r="N817" i="2"/>
  <c r="AM816" i="2"/>
  <c r="AB816" i="2"/>
  <c r="AA816" i="2"/>
  <c r="R816" i="2"/>
  <c r="O816" i="2"/>
  <c r="N816" i="2"/>
  <c r="AM815" i="2"/>
  <c r="AB815" i="2"/>
  <c r="AA815" i="2"/>
  <c r="R815" i="2"/>
  <c r="O815" i="2"/>
  <c r="N815" i="2"/>
  <c r="AM814" i="2"/>
  <c r="AB814" i="2"/>
  <c r="AA814" i="2"/>
  <c r="R814" i="2"/>
  <c r="O814" i="2"/>
  <c r="N814" i="2"/>
  <c r="AM813" i="2"/>
  <c r="AB813" i="2"/>
  <c r="AA813" i="2"/>
  <c r="R813" i="2"/>
  <c r="O813" i="2"/>
  <c r="N813" i="2"/>
  <c r="AM812" i="2"/>
  <c r="AB812" i="2"/>
  <c r="AA812" i="2"/>
  <c r="R812" i="2"/>
  <c r="O812" i="2"/>
  <c r="N812" i="2"/>
  <c r="AM811" i="2"/>
  <c r="AB811" i="2"/>
  <c r="AA811" i="2"/>
  <c r="R811" i="2"/>
  <c r="O811" i="2"/>
  <c r="N811" i="2"/>
  <c r="AM810" i="2"/>
  <c r="AB810" i="2"/>
  <c r="AA810" i="2"/>
  <c r="R810" i="2"/>
  <c r="O810" i="2"/>
  <c r="N810" i="2"/>
  <c r="AM809" i="2"/>
  <c r="AB809" i="2"/>
  <c r="AA809" i="2"/>
  <c r="R809" i="2"/>
  <c r="O809" i="2"/>
  <c r="N809" i="2"/>
  <c r="AM808" i="2"/>
  <c r="AB808" i="2"/>
  <c r="AA808" i="2"/>
  <c r="R808" i="2"/>
  <c r="O808" i="2"/>
  <c r="N808" i="2"/>
  <c r="AM807" i="2"/>
  <c r="AB807" i="2"/>
  <c r="AA807" i="2"/>
  <c r="R807" i="2"/>
  <c r="O807" i="2"/>
  <c r="N807" i="2"/>
  <c r="AM806" i="2"/>
  <c r="AB806" i="2"/>
  <c r="AA806" i="2"/>
  <c r="R806" i="2"/>
  <c r="O806" i="2"/>
  <c r="N806" i="2"/>
  <c r="AM805" i="2"/>
  <c r="AB805" i="2"/>
  <c r="AA805" i="2"/>
  <c r="R805" i="2"/>
  <c r="O805" i="2"/>
  <c r="N805" i="2"/>
  <c r="AM804" i="2"/>
  <c r="AB804" i="2"/>
  <c r="AA804" i="2"/>
  <c r="R804" i="2"/>
  <c r="O804" i="2"/>
  <c r="N804" i="2"/>
  <c r="AM803" i="2"/>
  <c r="AB803" i="2"/>
  <c r="AA803" i="2"/>
  <c r="R803" i="2"/>
  <c r="O803" i="2"/>
  <c r="N803" i="2"/>
  <c r="AM802" i="2"/>
  <c r="AB802" i="2"/>
  <c r="AA802" i="2"/>
  <c r="R802" i="2"/>
  <c r="O802" i="2"/>
  <c r="N802" i="2"/>
  <c r="AM801" i="2"/>
  <c r="AB801" i="2"/>
  <c r="AA801" i="2"/>
  <c r="R801" i="2"/>
  <c r="O801" i="2"/>
  <c r="N801" i="2"/>
  <c r="AM800" i="2"/>
  <c r="AB800" i="2"/>
  <c r="AA800" i="2"/>
  <c r="R800" i="2"/>
  <c r="O800" i="2"/>
  <c r="N800" i="2"/>
  <c r="AM799" i="2"/>
  <c r="AB799" i="2"/>
  <c r="AA799" i="2"/>
  <c r="R799" i="2"/>
  <c r="O799" i="2"/>
  <c r="N799" i="2"/>
  <c r="AM798" i="2"/>
  <c r="AB798" i="2"/>
  <c r="AA798" i="2"/>
  <c r="R798" i="2"/>
  <c r="O798" i="2"/>
  <c r="N798" i="2"/>
  <c r="AM797" i="2"/>
  <c r="AB797" i="2"/>
  <c r="AA797" i="2"/>
  <c r="R797" i="2"/>
  <c r="O797" i="2"/>
  <c r="N797" i="2"/>
  <c r="AM796" i="2"/>
  <c r="AB796" i="2"/>
  <c r="AA796" i="2"/>
  <c r="R796" i="2"/>
  <c r="O796" i="2"/>
  <c r="N796" i="2"/>
  <c r="AM795" i="2"/>
  <c r="AB795" i="2"/>
  <c r="AA795" i="2"/>
  <c r="R795" i="2"/>
  <c r="O795" i="2"/>
  <c r="N795" i="2"/>
  <c r="AM794" i="2"/>
  <c r="AB794" i="2"/>
  <c r="AA794" i="2"/>
  <c r="R794" i="2"/>
  <c r="O794" i="2"/>
  <c r="N794" i="2"/>
  <c r="AM793" i="2"/>
  <c r="AB793" i="2"/>
  <c r="AA793" i="2"/>
  <c r="R793" i="2"/>
  <c r="O793" i="2"/>
  <c r="N793" i="2"/>
  <c r="AM792" i="2"/>
  <c r="AB792" i="2"/>
  <c r="AA792" i="2"/>
  <c r="R792" i="2"/>
  <c r="O792" i="2"/>
  <c r="N792" i="2"/>
  <c r="AM791" i="2"/>
  <c r="AB791" i="2"/>
  <c r="AA791" i="2"/>
  <c r="R791" i="2"/>
  <c r="O791" i="2"/>
  <c r="N791" i="2"/>
  <c r="AM790" i="2"/>
  <c r="AB790" i="2"/>
  <c r="AA790" i="2"/>
  <c r="R790" i="2"/>
  <c r="O790" i="2"/>
  <c r="N790" i="2"/>
  <c r="AM789" i="2"/>
  <c r="AB789" i="2"/>
  <c r="AA789" i="2"/>
  <c r="R789" i="2"/>
  <c r="O789" i="2"/>
  <c r="N789" i="2"/>
  <c r="AM788" i="2"/>
  <c r="AB788" i="2"/>
  <c r="AA788" i="2"/>
  <c r="R788" i="2"/>
  <c r="O788" i="2"/>
  <c r="N788" i="2"/>
  <c r="AM787" i="2"/>
  <c r="AB787" i="2"/>
  <c r="AA787" i="2"/>
  <c r="R787" i="2"/>
  <c r="O787" i="2"/>
  <c r="N787" i="2"/>
  <c r="AM786" i="2"/>
  <c r="AB786" i="2"/>
  <c r="AA786" i="2"/>
  <c r="R786" i="2"/>
  <c r="O786" i="2"/>
  <c r="N786" i="2"/>
  <c r="AM785" i="2"/>
  <c r="AB785" i="2"/>
  <c r="AA785" i="2"/>
  <c r="R785" i="2"/>
  <c r="O785" i="2"/>
  <c r="N785" i="2"/>
  <c r="AM784" i="2"/>
  <c r="AB784" i="2"/>
  <c r="AA784" i="2"/>
  <c r="R784" i="2"/>
  <c r="O784" i="2"/>
  <c r="N784" i="2"/>
  <c r="AM783" i="2"/>
  <c r="AB783" i="2"/>
  <c r="AA783" i="2"/>
  <c r="R783" i="2"/>
  <c r="O783" i="2"/>
  <c r="N783" i="2"/>
  <c r="AM782" i="2"/>
  <c r="AB782" i="2"/>
  <c r="AA782" i="2"/>
  <c r="R782" i="2"/>
  <c r="O782" i="2"/>
  <c r="N782" i="2"/>
  <c r="AM781" i="2"/>
  <c r="AB781" i="2"/>
  <c r="AA781" i="2"/>
  <c r="R781" i="2"/>
  <c r="O781" i="2"/>
  <c r="N781" i="2"/>
  <c r="AM780" i="2"/>
  <c r="AB780" i="2"/>
  <c r="AA780" i="2"/>
  <c r="R780" i="2"/>
  <c r="O780" i="2"/>
  <c r="N780" i="2"/>
  <c r="AM779" i="2"/>
  <c r="AB779" i="2"/>
  <c r="AA779" i="2"/>
  <c r="R779" i="2"/>
  <c r="O779" i="2"/>
  <c r="N779" i="2"/>
  <c r="AM778" i="2"/>
  <c r="AB778" i="2"/>
  <c r="AA778" i="2"/>
  <c r="R778" i="2"/>
  <c r="O778" i="2"/>
  <c r="N778" i="2"/>
  <c r="AM777" i="2"/>
  <c r="AB777" i="2"/>
  <c r="AA777" i="2"/>
  <c r="R777" i="2"/>
  <c r="O777" i="2"/>
  <c r="N777" i="2"/>
  <c r="AM776" i="2"/>
  <c r="AB776" i="2"/>
  <c r="AA776" i="2"/>
  <c r="R776" i="2"/>
  <c r="O776" i="2"/>
  <c r="N776" i="2"/>
  <c r="AM775" i="2"/>
  <c r="AB775" i="2"/>
  <c r="AA775" i="2"/>
  <c r="R775" i="2"/>
  <c r="O775" i="2"/>
  <c r="N775" i="2"/>
  <c r="AM774" i="2"/>
  <c r="AB774" i="2"/>
  <c r="AA774" i="2"/>
  <c r="R774" i="2"/>
  <c r="O774" i="2"/>
  <c r="N774" i="2"/>
  <c r="AM773" i="2"/>
  <c r="AB773" i="2"/>
  <c r="AA773" i="2"/>
  <c r="R773" i="2"/>
  <c r="O773" i="2"/>
  <c r="N773" i="2"/>
  <c r="AM772" i="2"/>
  <c r="AB772" i="2"/>
  <c r="AA772" i="2"/>
  <c r="R772" i="2"/>
  <c r="O772" i="2"/>
  <c r="N772" i="2"/>
  <c r="AM771" i="2"/>
  <c r="AB771" i="2"/>
  <c r="AA771" i="2"/>
  <c r="R771" i="2"/>
  <c r="O771" i="2"/>
  <c r="N771" i="2"/>
  <c r="AM770" i="2"/>
  <c r="AB770" i="2"/>
  <c r="AA770" i="2"/>
  <c r="R770" i="2"/>
  <c r="O770" i="2"/>
  <c r="N770" i="2"/>
  <c r="AM769" i="2"/>
  <c r="AB769" i="2"/>
  <c r="AA769" i="2"/>
  <c r="R769" i="2"/>
  <c r="O769" i="2"/>
  <c r="N769" i="2"/>
  <c r="AM768" i="2"/>
  <c r="AB768" i="2"/>
  <c r="AA768" i="2"/>
  <c r="R768" i="2"/>
  <c r="O768" i="2"/>
  <c r="N768" i="2"/>
  <c r="AM767" i="2"/>
  <c r="AB767" i="2"/>
  <c r="AA767" i="2"/>
  <c r="R767" i="2"/>
  <c r="O767" i="2"/>
  <c r="N767" i="2"/>
  <c r="AM766" i="2"/>
  <c r="AB766" i="2"/>
  <c r="AA766" i="2"/>
  <c r="R766" i="2"/>
  <c r="O766" i="2"/>
  <c r="N766" i="2"/>
  <c r="AM765" i="2"/>
  <c r="AB765" i="2"/>
  <c r="AA765" i="2"/>
  <c r="R765" i="2"/>
  <c r="O765" i="2"/>
  <c r="N765" i="2"/>
  <c r="AM764" i="2"/>
  <c r="AB764" i="2"/>
  <c r="AA764" i="2"/>
  <c r="R764" i="2"/>
  <c r="O764" i="2"/>
  <c r="N764" i="2"/>
  <c r="AM763" i="2"/>
  <c r="AB763" i="2"/>
  <c r="AA763" i="2"/>
  <c r="R763" i="2"/>
  <c r="O763" i="2"/>
  <c r="N763" i="2"/>
  <c r="AM762" i="2"/>
  <c r="AB762" i="2"/>
  <c r="AA762" i="2"/>
  <c r="R762" i="2"/>
  <c r="O762" i="2"/>
  <c r="N762" i="2"/>
  <c r="AM761" i="2"/>
  <c r="AB761" i="2"/>
  <c r="AA761" i="2"/>
  <c r="R761" i="2"/>
  <c r="O761" i="2"/>
  <c r="N761" i="2"/>
  <c r="AM760" i="2"/>
  <c r="AB760" i="2"/>
  <c r="AA760" i="2"/>
  <c r="R760" i="2"/>
  <c r="O760" i="2"/>
  <c r="N760" i="2"/>
  <c r="AM759" i="2"/>
  <c r="AB759" i="2"/>
  <c r="AA759" i="2"/>
  <c r="R759" i="2"/>
  <c r="O759" i="2"/>
  <c r="N759" i="2"/>
  <c r="AM758" i="2"/>
  <c r="AB758" i="2"/>
  <c r="AA758" i="2"/>
  <c r="R758" i="2"/>
  <c r="O758" i="2"/>
  <c r="N758" i="2"/>
  <c r="AM757" i="2"/>
  <c r="AB757" i="2"/>
  <c r="AA757" i="2"/>
  <c r="R757" i="2"/>
  <c r="O757" i="2"/>
  <c r="N757" i="2"/>
  <c r="AM756" i="2"/>
  <c r="AB756" i="2"/>
  <c r="AA756" i="2"/>
  <c r="R756" i="2"/>
  <c r="O756" i="2"/>
  <c r="N756" i="2"/>
  <c r="AM755" i="2"/>
  <c r="AB755" i="2"/>
  <c r="AA755" i="2"/>
  <c r="R755" i="2"/>
  <c r="O755" i="2"/>
  <c r="N755" i="2"/>
  <c r="AM754" i="2"/>
  <c r="AB754" i="2"/>
  <c r="AA754" i="2"/>
  <c r="R754" i="2"/>
  <c r="O754" i="2"/>
  <c r="N754" i="2"/>
  <c r="AM753" i="2"/>
  <c r="AB753" i="2"/>
  <c r="AA753" i="2"/>
  <c r="R753" i="2"/>
  <c r="O753" i="2"/>
  <c r="N753" i="2"/>
  <c r="AM752" i="2"/>
  <c r="AB752" i="2"/>
  <c r="AA752" i="2"/>
  <c r="R752" i="2"/>
  <c r="O752" i="2"/>
  <c r="N752" i="2"/>
  <c r="AM751" i="2"/>
  <c r="AB751" i="2"/>
  <c r="AA751" i="2"/>
  <c r="R751" i="2"/>
  <c r="O751" i="2"/>
  <c r="N751" i="2"/>
  <c r="AM750" i="2"/>
  <c r="AB750" i="2"/>
  <c r="AA750" i="2"/>
  <c r="R750" i="2"/>
  <c r="O750" i="2"/>
  <c r="N750" i="2"/>
  <c r="AM749" i="2"/>
  <c r="AB749" i="2"/>
  <c r="AA749" i="2"/>
  <c r="R749" i="2"/>
  <c r="O749" i="2"/>
  <c r="N749" i="2"/>
  <c r="AM748" i="2"/>
  <c r="AB748" i="2"/>
  <c r="AA748" i="2"/>
  <c r="R748" i="2"/>
  <c r="O748" i="2"/>
  <c r="N748" i="2"/>
  <c r="AM747" i="2"/>
  <c r="AB747" i="2"/>
  <c r="AA747" i="2"/>
  <c r="R747" i="2"/>
  <c r="O747" i="2"/>
  <c r="N747" i="2"/>
  <c r="AM746" i="2"/>
  <c r="AB746" i="2"/>
  <c r="AA746" i="2"/>
  <c r="R746" i="2"/>
  <c r="O746" i="2"/>
  <c r="N746" i="2"/>
  <c r="AM745" i="2"/>
  <c r="AB745" i="2"/>
  <c r="AA745" i="2"/>
  <c r="R745" i="2"/>
  <c r="O745" i="2"/>
  <c r="N745" i="2"/>
  <c r="AM744" i="2"/>
  <c r="AB744" i="2"/>
  <c r="AA744" i="2"/>
  <c r="R744" i="2"/>
  <c r="O744" i="2"/>
  <c r="N744" i="2"/>
  <c r="AM743" i="2"/>
  <c r="AB743" i="2"/>
  <c r="AA743" i="2"/>
  <c r="R743" i="2"/>
  <c r="O743" i="2"/>
  <c r="N743" i="2"/>
  <c r="AM742" i="2"/>
  <c r="AB742" i="2"/>
  <c r="AA742" i="2"/>
  <c r="R742" i="2"/>
  <c r="O742" i="2"/>
  <c r="N742" i="2"/>
  <c r="AM741" i="2"/>
  <c r="AB741" i="2"/>
  <c r="AA741" i="2"/>
  <c r="R741" i="2"/>
  <c r="O741" i="2"/>
  <c r="N741" i="2"/>
  <c r="AM740" i="2"/>
  <c r="AB740" i="2"/>
  <c r="AA740" i="2"/>
  <c r="R740" i="2"/>
  <c r="O740" i="2"/>
  <c r="N740" i="2"/>
  <c r="AM739" i="2"/>
  <c r="AB739" i="2"/>
  <c r="AA739" i="2"/>
  <c r="R739" i="2"/>
  <c r="O739" i="2"/>
  <c r="N739" i="2"/>
  <c r="AM738" i="2"/>
  <c r="AB738" i="2"/>
  <c r="AA738" i="2"/>
  <c r="R738" i="2"/>
  <c r="O738" i="2"/>
  <c r="N738" i="2"/>
  <c r="AM737" i="2"/>
  <c r="AB737" i="2"/>
  <c r="AA737" i="2"/>
  <c r="R737" i="2"/>
  <c r="O737" i="2"/>
  <c r="N737" i="2"/>
  <c r="AM736" i="2"/>
  <c r="AB736" i="2"/>
  <c r="AA736" i="2"/>
  <c r="R736" i="2"/>
  <c r="O736" i="2"/>
  <c r="N736" i="2"/>
  <c r="AM735" i="2"/>
  <c r="AB735" i="2"/>
  <c r="AA735" i="2"/>
  <c r="R735" i="2"/>
  <c r="O735" i="2"/>
  <c r="N735" i="2"/>
  <c r="AM734" i="2"/>
  <c r="AB734" i="2"/>
  <c r="AA734" i="2"/>
  <c r="R734" i="2"/>
  <c r="O734" i="2"/>
  <c r="N734" i="2"/>
  <c r="AM733" i="2"/>
  <c r="AB733" i="2"/>
  <c r="AA733" i="2"/>
  <c r="R733" i="2"/>
  <c r="O733" i="2"/>
  <c r="N733" i="2"/>
  <c r="AM732" i="2"/>
  <c r="AB732" i="2"/>
  <c r="AA732" i="2"/>
  <c r="R732" i="2"/>
  <c r="O732" i="2"/>
  <c r="N732" i="2"/>
  <c r="AM731" i="2"/>
  <c r="AB731" i="2"/>
  <c r="AA731" i="2"/>
  <c r="R731" i="2"/>
  <c r="O731" i="2"/>
  <c r="N731" i="2"/>
  <c r="AM730" i="2"/>
  <c r="AB730" i="2"/>
  <c r="AA730" i="2"/>
  <c r="R730" i="2"/>
  <c r="O730" i="2"/>
  <c r="N730" i="2"/>
  <c r="AM729" i="2"/>
  <c r="AB729" i="2"/>
  <c r="AA729" i="2"/>
  <c r="R729" i="2"/>
  <c r="O729" i="2"/>
  <c r="N729" i="2"/>
  <c r="AM728" i="2"/>
  <c r="AB728" i="2"/>
  <c r="AA728" i="2"/>
  <c r="R728" i="2"/>
  <c r="O728" i="2"/>
  <c r="N728" i="2"/>
  <c r="AM727" i="2"/>
  <c r="AB727" i="2"/>
  <c r="AA727" i="2"/>
  <c r="R727" i="2"/>
  <c r="O727" i="2"/>
  <c r="N727" i="2"/>
  <c r="AM726" i="2"/>
  <c r="AB726" i="2"/>
  <c r="AA726" i="2"/>
  <c r="R726" i="2"/>
  <c r="O726" i="2"/>
  <c r="N726" i="2"/>
  <c r="AM725" i="2"/>
  <c r="AB725" i="2"/>
  <c r="AA725" i="2"/>
  <c r="R725" i="2"/>
  <c r="O725" i="2"/>
  <c r="N725" i="2"/>
  <c r="AM724" i="2"/>
  <c r="AB724" i="2"/>
  <c r="AA724" i="2"/>
  <c r="R724" i="2"/>
  <c r="O724" i="2"/>
  <c r="N724" i="2"/>
  <c r="AM723" i="2"/>
  <c r="AB723" i="2"/>
  <c r="AA723" i="2"/>
  <c r="R723" i="2"/>
  <c r="O723" i="2"/>
  <c r="N723" i="2"/>
  <c r="AM722" i="2"/>
  <c r="AB722" i="2"/>
  <c r="AA722" i="2"/>
  <c r="R722" i="2"/>
  <c r="O722" i="2"/>
  <c r="N722" i="2"/>
  <c r="AM721" i="2"/>
  <c r="AB721" i="2"/>
  <c r="AA721" i="2"/>
  <c r="R721" i="2"/>
  <c r="O721" i="2"/>
  <c r="N721" i="2"/>
  <c r="AM720" i="2"/>
  <c r="AB720" i="2"/>
  <c r="AA720" i="2"/>
  <c r="R720" i="2"/>
  <c r="O720" i="2"/>
  <c r="N720" i="2"/>
  <c r="AM719" i="2"/>
  <c r="AB719" i="2"/>
  <c r="AA719" i="2"/>
  <c r="R719" i="2"/>
  <c r="O719" i="2"/>
  <c r="N719" i="2"/>
  <c r="AM718" i="2"/>
  <c r="AB718" i="2"/>
  <c r="AA718" i="2"/>
  <c r="R718" i="2"/>
  <c r="O718" i="2"/>
  <c r="N718" i="2"/>
  <c r="AM717" i="2"/>
  <c r="AB717" i="2"/>
  <c r="AA717" i="2"/>
  <c r="R717" i="2"/>
  <c r="O717" i="2"/>
  <c r="N717" i="2"/>
  <c r="AM716" i="2"/>
  <c r="AB716" i="2"/>
  <c r="AA716" i="2"/>
  <c r="R716" i="2"/>
  <c r="O716" i="2"/>
  <c r="N716" i="2"/>
  <c r="AM715" i="2"/>
  <c r="AB715" i="2"/>
  <c r="AA715" i="2"/>
  <c r="R715" i="2"/>
  <c r="O715" i="2"/>
  <c r="N715" i="2"/>
  <c r="AM714" i="2"/>
  <c r="AB714" i="2"/>
  <c r="AA714" i="2"/>
  <c r="R714" i="2"/>
  <c r="O714" i="2"/>
  <c r="N714" i="2"/>
  <c r="AM713" i="2"/>
  <c r="AB713" i="2"/>
  <c r="AA713" i="2"/>
  <c r="R713" i="2"/>
  <c r="O713" i="2"/>
  <c r="N713" i="2"/>
  <c r="AM712" i="2"/>
  <c r="AB712" i="2"/>
  <c r="AA712" i="2"/>
  <c r="R712" i="2"/>
  <c r="O712" i="2"/>
  <c r="N712" i="2"/>
  <c r="AM711" i="2"/>
  <c r="AB711" i="2"/>
  <c r="AA711" i="2"/>
  <c r="R711" i="2"/>
  <c r="O711" i="2"/>
  <c r="N711" i="2"/>
  <c r="AM710" i="2"/>
  <c r="AB710" i="2"/>
  <c r="AA710" i="2"/>
  <c r="R710" i="2"/>
  <c r="O710" i="2"/>
  <c r="N710" i="2"/>
  <c r="AM709" i="2"/>
  <c r="AB709" i="2"/>
  <c r="AA709" i="2"/>
  <c r="R709" i="2"/>
  <c r="O709" i="2"/>
  <c r="N709" i="2"/>
  <c r="AM708" i="2"/>
  <c r="AB708" i="2"/>
  <c r="AA708" i="2"/>
  <c r="R708" i="2"/>
  <c r="O708" i="2"/>
  <c r="N708" i="2"/>
  <c r="AM707" i="2"/>
  <c r="AB707" i="2"/>
  <c r="AA707" i="2"/>
  <c r="R707" i="2"/>
  <c r="O707" i="2"/>
  <c r="N707" i="2"/>
  <c r="AM706" i="2"/>
  <c r="AB706" i="2"/>
  <c r="AA706" i="2"/>
  <c r="R706" i="2"/>
  <c r="O706" i="2"/>
  <c r="N706" i="2"/>
  <c r="AM705" i="2"/>
  <c r="AB705" i="2"/>
  <c r="AA705" i="2"/>
  <c r="R705" i="2"/>
  <c r="O705" i="2"/>
  <c r="N705" i="2"/>
  <c r="AM704" i="2"/>
  <c r="AB704" i="2"/>
  <c r="AA704" i="2"/>
  <c r="R704" i="2"/>
  <c r="O704" i="2"/>
  <c r="N704" i="2"/>
  <c r="AM703" i="2"/>
  <c r="AB703" i="2"/>
  <c r="AA703" i="2"/>
  <c r="R703" i="2"/>
  <c r="O703" i="2"/>
  <c r="N703" i="2"/>
  <c r="AM702" i="2"/>
  <c r="AB702" i="2"/>
  <c r="AA702" i="2"/>
  <c r="R702" i="2"/>
  <c r="O702" i="2"/>
  <c r="N702" i="2"/>
  <c r="AM701" i="2"/>
  <c r="AB701" i="2"/>
  <c r="AA701" i="2"/>
  <c r="R701" i="2"/>
  <c r="O701" i="2"/>
  <c r="N701" i="2"/>
  <c r="AM700" i="2"/>
  <c r="AB700" i="2"/>
  <c r="AA700" i="2"/>
  <c r="R700" i="2"/>
  <c r="O700" i="2"/>
  <c r="N700" i="2"/>
  <c r="AM699" i="2"/>
  <c r="AB699" i="2"/>
  <c r="AA699" i="2"/>
  <c r="R699" i="2"/>
  <c r="O699" i="2"/>
  <c r="N699" i="2"/>
  <c r="AM698" i="2"/>
  <c r="AB698" i="2"/>
  <c r="AA698" i="2"/>
  <c r="R698" i="2"/>
  <c r="O698" i="2"/>
  <c r="N698" i="2"/>
  <c r="AM697" i="2"/>
  <c r="AB697" i="2"/>
  <c r="AA697" i="2"/>
  <c r="R697" i="2"/>
  <c r="O697" i="2"/>
  <c r="N697" i="2"/>
  <c r="AM696" i="2"/>
  <c r="AB696" i="2"/>
  <c r="AA696" i="2"/>
  <c r="R696" i="2"/>
  <c r="O696" i="2"/>
  <c r="N696" i="2"/>
  <c r="AM695" i="2"/>
  <c r="AB695" i="2"/>
  <c r="AA695" i="2"/>
  <c r="R695" i="2"/>
  <c r="O695" i="2"/>
  <c r="N695" i="2"/>
  <c r="AM694" i="2"/>
  <c r="AB694" i="2"/>
  <c r="AA694" i="2"/>
  <c r="R694" i="2"/>
  <c r="O694" i="2"/>
  <c r="N694" i="2"/>
  <c r="AM693" i="2"/>
  <c r="AB693" i="2"/>
  <c r="AA693" i="2"/>
  <c r="R693" i="2"/>
  <c r="O693" i="2"/>
  <c r="N693" i="2"/>
  <c r="AM692" i="2"/>
  <c r="AB692" i="2"/>
  <c r="AA692" i="2"/>
  <c r="R692" i="2"/>
  <c r="O692" i="2"/>
  <c r="N692" i="2"/>
  <c r="AM691" i="2"/>
  <c r="AB691" i="2"/>
  <c r="AA691" i="2"/>
  <c r="R691" i="2"/>
  <c r="O691" i="2"/>
  <c r="N691" i="2"/>
  <c r="AM690" i="2"/>
  <c r="AB690" i="2"/>
  <c r="AA690" i="2"/>
  <c r="R690" i="2"/>
  <c r="O690" i="2"/>
  <c r="N690" i="2"/>
  <c r="AM689" i="2"/>
  <c r="AB689" i="2"/>
  <c r="AA689" i="2"/>
  <c r="R689" i="2"/>
  <c r="O689" i="2"/>
  <c r="N689" i="2"/>
  <c r="AM688" i="2"/>
  <c r="AB688" i="2"/>
  <c r="AA688" i="2"/>
  <c r="R688" i="2"/>
  <c r="O688" i="2"/>
  <c r="N688" i="2"/>
  <c r="AM687" i="2"/>
  <c r="AB687" i="2"/>
  <c r="AA687" i="2"/>
  <c r="R687" i="2"/>
  <c r="O687" i="2"/>
  <c r="N687" i="2"/>
  <c r="AM686" i="2"/>
  <c r="AB686" i="2"/>
  <c r="AA686" i="2"/>
  <c r="R686" i="2"/>
  <c r="O686" i="2"/>
  <c r="N686" i="2"/>
  <c r="AM685" i="2"/>
  <c r="AB685" i="2"/>
  <c r="AA685" i="2"/>
  <c r="R685" i="2"/>
  <c r="O685" i="2"/>
  <c r="N685" i="2"/>
  <c r="AM684" i="2"/>
  <c r="AB684" i="2"/>
  <c r="AA684" i="2"/>
  <c r="R684" i="2"/>
  <c r="O684" i="2"/>
  <c r="N684" i="2"/>
  <c r="AM683" i="2"/>
  <c r="AB683" i="2"/>
  <c r="AA683" i="2"/>
  <c r="R683" i="2"/>
  <c r="O683" i="2"/>
  <c r="N683" i="2"/>
  <c r="AM682" i="2"/>
  <c r="AB682" i="2"/>
  <c r="AA682" i="2"/>
  <c r="R682" i="2"/>
  <c r="O682" i="2"/>
  <c r="N682" i="2"/>
  <c r="AM681" i="2"/>
  <c r="AB681" i="2"/>
  <c r="AA681" i="2"/>
  <c r="R681" i="2"/>
  <c r="O681" i="2"/>
  <c r="N681" i="2"/>
  <c r="AM680" i="2"/>
  <c r="AB680" i="2"/>
  <c r="AA680" i="2"/>
  <c r="R680" i="2"/>
  <c r="O680" i="2"/>
  <c r="N680" i="2"/>
  <c r="AM679" i="2"/>
  <c r="AB679" i="2"/>
  <c r="AA679" i="2"/>
  <c r="R679" i="2"/>
  <c r="O679" i="2"/>
  <c r="N679" i="2"/>
  <c r="AM678" i="2"/>
  <c r="AB678" i="2"/>
  <c r="AA678" i="2"/>
  <c r="R678" i="2"/>
  <c r="O678" i="2"/>
  <c r="N678" i="2"/>
  <c r="AM677" i="2"/>
  <c r="AB677" i="2"/>
  <c r="AA677" i="2"/>
  <c r="R677" i="2"/>
  <c r="O677" i="2"/>
  <c r="N677" i="2"/>
  <c r="AM676" i="2"/>
  <c r="AB676" i="2"/>
  <c r="AA676" i="2"/>
  <c r="R676" i="2"/>
  <c r="O676" i="2"/>
  <c r="N676" i="2"/>
  <c r="AM675" i="2"/>
  <c r="AB675" i="2"/>
  <c r="AA675" i="2"/>
  <c r="R675" i="2"/>
  <c r="O675" i="2"/>
  <c r="N675" i="2"/>
  <c r="AM674" i="2"/>
  <c r="AB674" i="2"/>
  <c r="AA674" i="2"/>
  <c r="R674" i="2"/>
  <c r="O674" i="2"/>
  <c r="N674" i="2"/>
  <c r="AM673" i="2"/>
  <c r="AB673" i="2"/>
  <c r="AA673" i="2"/>
  <c r="R673" i="2"/>
  <c r="O673" i="2"/>
  <c r="N673" i="2"/>
  <c r="AM672" i="2"/>
  <c r="AB672" i="2"/>
  <c r="AA672" i="2"/>
  <c r="R672" i="2"/>
  <c r="O672" i="2"/>
  <c r="N672" i="2"/>
  <c r="AM671" i="2"/>
  <c r="AB671" i="2"/>
  <c r="AA671" i="2"/>
  <c r="R671" i="2"/>
  <c r="O671" i="2"/>
  <c r="N671" i="2"/>
  <c r="AM670" i="2"/>
  <c r="AB670" i="2"/>
  <c r="AA670" i="2"/>
  <c r="R670" i="2"/>
  <c r="O670" i="2"/>
  <c r="N670" i="2"/>
  <c r="AM669" i="2"/>
  <c r="AB669" i="2"/>
  <c r="AA669" i="2"/>
  <c r="R669" i="2"/>
  <c r="O669" i="2"/>
  <c r="N669" i="2"/>
  <c r="AM668" i="2"/>
  <c r="AB668" i="2"/>
  <c r="AA668" i="2"/>
  <c r="R668" i="2"/>
  <c r="O668" i="2"/>
  <c r="N668" i="2"/>
  <c r="AM667" i="2"/>
  <c r="AB667" i="2"/>
  <c r="AA667" i="2"/>
  <c r="R667" i="2"/>
  <c r="O667" i="2"/>
  <c r="N667" i="2"/>
  <c r="AM666" i="2"/>
  <c r="AB666" i="2"/>
  <c r="AA666" i="2"/>
  <c r="R666" i="2"/>
  <c r="O666" i="2"/>
  <c r="N666" i="2"/>
  <c r="AM665" i="2"/>
  <c r="AB665" i="2"/>
  <c r="AA665" i="2"/>
  <c r="R665" i="2"/>
  <c r="O665" i="2"/>
  <c r="N665" i="2"/>
  <c r="AM664" i="2"/>
  <c r="AB664" i="2"/>
  <c r="AA664" i="2"/>
  <c r="R664" i="2"/>
  <c r="O664" i="2"/>
  <c r="N664" i="2"/>
  <c r="AM663" i="2"/>
  <c r="AB663" i="2"/>
  <c r="AA663" i="2"/>
  <c r="R663" i="2"/>
  <c r="O663" i="2"/>
  <c r="N663" i="2"/>
  <c r="AM662" i="2"/>
  <c r="AB662" i="2"/>
  <c r="AA662" i="2"/>
  <c r="R662" i="2"/>
  <c r="O662" i="2"/>
  <c r="N662" i="2"/>
  <c r="AM661" i="2"/>
  <c r="AB661" i="2"/>
  <c r="AA661" i="2"/>
  <c r="R661" i="2"/>
  <c r="O661" i="2"/>
  <c r="N661" i="2"/>
  <c r="AM660" i="2"/>
  <c r="AB660" i="2"/>
  <c r="AA660" i="2"/>
  <c r="R660" i="2"/>
  <c r="O660" i="2"/>
  <c r="N660" i="2"/>
  <c r="AM659" i="2"/>
  <c r="AB659" i="2"/>
  <c r="AA659" i="2"/>
  <c r="R659" i="2"/>
  <c r="O659" i="2"/>
  <c r="N659" i="2"/>
  <c r="AM658" i="2"/>
  <c r="AB658" i="2"/>
  <c r="AA658" i="2"/>
  <c r="R658" i="2"/>
  <c r="O658" i="2"/>
  <c r="N658" i="2"/>
  <c r="AM657" i="2"/>
  <c r="AB657" i="2"/>
  <c r="AA657" i="2"/>
  <c r="R657" i="2"/>
  <c r="O657" i="2"/>
  <c r="N657" i="2"/>
  <c r="AM656" i="2"/>
  <c r="AB656" i="2"/>
  <c r="AA656" i="2"/>
  <c r="R656" i="2"/>
  <c r="O656" i="2"/>
  <c r="N656" i="2"/>
  <c r="AM655" i="2"/>
  <c r="AB655" i="2"/>
  <c r="AA655" i="2"/>
  <c r="R655" i="2"/>
  <c r="O655" i="2"/>
  <c r="N655" i="2"/>
  <c r="AM654" i="2"/>
  <c r="AB654" i="2"/>
  <c r="AA654" i="2"/>
  <c r="R654" i="2"/>
  <c r="O654" i="2"/>
  <c r="N654" i="2"/>
  <c r="AM653" i="2"/>
  <c r="AB653" i="2"/>
  <c r="AA653" i="2"/>
  <c r="R653" i="2"/>
  <c r="O653" i="2"/>
  <c r="N653" i="2"/>
  <c r="AM652" i="2"/>
  <c r="AB652" i="2"/>
  <c r="AA652" i="2"/>
  <c r="R652" i="2"/>
  <c r="O652" i="2"/>
  <c r="N652" i="2"/>
  <c r="AM651" i="2"/>
  <c r="AB651" i="2"/>
  <c r="AA651" i="2"/>
  <c r="R651" i="2"/>
  <c r="O651" i="2"/>
  <c r="N651" i="2"/>
  <c r="AM650" i="2"/>
  <c r="AB650" i="2"/>
  <c r="AA650" i="2"/>
  <c r="R650" i="2"/>
  <c r="O650" i="2"/>
  <c r="N650" i="2"/>
  <c r="AM649" i="2"/>
  <c r="AB649" i="2"/>
  <c r="AA649" i="2"/>
  <c r="R649" i="2"/>
  <c r="O649" i="2"/>
  <c r="N649" i="2"/>
  <c r="AM648" i="2"/>
  <c r="AB648" i="2"/>
  <c r="AA648" i="2"/>
  <c r="R648" i="2"/>
  <c r="O648" i="2"/>
  <c r="N648" i="2"/>
  <c r="AM647" i="2"/>
  <c r="AB647" i="2"/>
  <c r="AA647" i="2"/>
  <c r="R647" i="2"/>
  <c r="O647" i="2"/>
  <c r="N647" i="2"/>
  <c r="AM646" i="2"/>
  <c r="AB646" i="2"/>
  <c r="AA646" i="2"/>
  <c r="R646" i="2"/>
  <c r="O646" i="2"/>
  <c r="N646" i="2"/>
  <c r="AM645" i="2"/>
  <c r="AB645" i="2"/>
  <c r="AA645" i="2"/>
  <c r="R645" i="2"/>
  <c r="O645" i="2"/>
  <c r="N645" i="2"/>
  <c r="AM644" i="2"/>
  <c r="AB644" i="2"/>
  <c r="AA644" i="2"/>
  <c r="R644" i="2"/>
  <c r="O644" i="2"/>
  <c r="N644" i="2"/>
  <c r="AM643" i="2"/>
  <c r="AB643" i="2"/>
  <c r="AA643" i="2"/>
  <c r="R643" i="2"/>
  <c r="O643" i="2"/>
  <c r="N643" i="2"/>
  <c r="AM642" i="2"/>
  <c r="AB642" i="2"/>
  <c r="AA642" i="2"/>
  <c r="R642" i="2"/>
  <c r="O642" i="2"/>
  <c r="N642" i="2"/>
  <c r="AM641" i="2"/>
  <c r="AB641" i="2"/>
  <c r="AA641" i="2"/>
  <c r="R641" i="2"/>
  <c r="O641" i="2"/>
  <c r="N641" i="2"/>
  <c r="AM640" i="2"/>
  <c r="AB640" i="2"/>
  <c r="AA640" i="2"/>
  <c r="R640" i="2"/>
  <c r="O640" i="2"/>
  <c r="N640" i="2"/>
  <c r="AM639" i="2"/>
  <c r="AB639" i="2"/>
  <c r="AA639" i="2"/>
  <c r="R639" i="2"/>
  <c r="O639" i="2"/>
  <c r="N639" i="2"/>
  <c r="AM638" i="2"/>
  <c r="AB638" i="2"/>
  <c r="AA638" i="2"/>
  <c r="R638" i="2"/>
  <c r="O638" i="2"/>
  <c r="N638" i="2"/>
  <c r="AM637" i="2"/>
  <c r="AB637" i="2"/>
  <c r="AA637" i="2"/>
  <c r="R637" i="2"/>
  <c r="O637" i="2"/>
  <c r="N637" i="2"/>
  <c r="AM636" i="2"/>
  <c r="AB636" i="2"/>
  <c r="AA636" i="2"/>
  <c r="R636" i="2"/>
  <c r="O636" i="2"/>
  <c r="N636" i="2"/>
  <c r="AM635" i="2"/>
  <c r="AB635" i="2"/>
  <c r="AA635" i="2"/>
  <c r="R635" i="2"/>
  <c r="O635" i="2"/>
  <c r="N635" i="2"/>
  <c r="AM634" i="2"/>
  <c r="AB634" i="2"/>
  <c r="AA634" i="2"/>
  <c r="R634" i="2"/>
  <c r="O634" i="2"/>
  <c r="N634" i="2"/>
  <c r="AM633" i="2"/>
  <c r="AB633" i="2"/>
  <c r="AA633" i="2"/>
  <c r="R633" i="2"/>
  <c r="O633" i="2"/>
  <c r="N633" i="2"/>
  <c r="AM632" i="2"/>
  <c r="AB632" i="2"/>
  <c r="AA632" i="2"/>
  <c r="R632" i="2"/>
  <c r="O632" i="2"/>
  <c r="N632" i="2"/>
  <c r="AM631" i="2"/>
  <c r="AB631" i="2"/>
  <c r="AA631" i="2"/>
  <c r="R631" i="2"/>
  <c r="O631" i="2"/>
  <c r="N631" i="2"/>
  <c r="AM630" i="2"/>
  <c r="AB630" i="2"/>
  <c r="AA630" i="2"/>
  <c r="R630" i="2"/>
  <c r="O630" i="2"/>
  <c r="N630" i="2"/>
  <c r="AM629" i="2"/>
  <c r="AB629" i="2"/>
  <c r="AA629" i="2"/>
  <c r="R629" i="2"/>
  <c r="O629" i="2"/>
  <c r="N629" i="2"/>
  <c r="AM628" i="2"/>
  <c r="AB628" i="2"/>
  <c r="AA628" i="2"/>
  <c r="R628" i="2"/>
  <c r="O628" i="2"/>
  <c r="N628" i="2"/>
  <c r="AM627" i="2"/>
  <c r="AB627" i="2"/>
  <c r="AA627" i="2"/>
  <c r="R627" i="2"/>
  <c r="O627" i="2"/>
  <c r="N627" i="2"/>
  <c r="AM626" i="2"/>
  <c r="AB626" i="2"/>
  <c r="AA626" i="2"/>
  <c r="R626" i="2"/>
  <c r="O626" i="2"/>
  <c r="N626" i="2"/>
  <c r="AM625" i="2"/>
  <c r="AB625" i="2"/>
  <c r="AA625" i="2"/>
  <c r="R625" i="2"/>
  <c r="O625" i="2"/>
  <c r="N625" i="2"/>
  <c r="AM624" i="2"/>
  <c r="AB624" i="2"/>
  <c r="AA624" i="2"/>
  <c r="R624" i="2"/>
  <c r="O624" i="2"/>
  <c r="N624" i="2"/>
  <c r="AM623" i="2"/>
  <c r="AB623" i="2"/>
  <c r="AA623" i="2"/>
  <c r="R623" i="2"/>
  <c r="O623" i="2"/>
  <c r="N623" i="2"/>
  <c r="AM622" i="2"/>
  <c r="AB622" i="2"/>
  <c r="AA622" i="2"/>
  <c r="R622" i="2"/>
  <c r="O622" i="2"/>
  <c r="N622" i="2"/>
  <c r="AM621" i="2"/>
  <c r="AB621" i="2"/>
  <c r="AA621" i="2"/>
  <c r="R621" i="2"/>
  <c r="O621" i="2"/>
  <c r="N621" i="2"/>
  <c r="AM620" i="2"/>
  <c r="AB620" i="2"/>
  <c r="AA620" i="2"/>
  <c r="R620" i="2"/>
  <c r="O620" i="2"/>
  <c r="N620" i="2"/>
  <c r="AM619" i="2"/>
  <c r="AB619" i="2"/>
  <c r="AA619" i="2"/>
  <c r="R619" i="2"/>
  <c r="O619" i="2"/>
  <c r="N619" i="2"/>
  <c r="AM618" i="2"/>
  <c r="AB618" i="2"/>
  <c r="AA618" i="2"/>
  <c r="R618" i="2"/>
  <c r="O618" i="2"/>
  <c r="N618" i="2"/>
  <c r="AM617" i="2"/>
  <c r="AB617" i="2"/>
  <c r="AA617" i="2"/>
  <c r="R617" i="2"/>
  <c r="O617" i="2"/>
  <c r="N617" i="2"/>
  <c r="AM616" i="2"/>
  <c r="AB616" i="2"/>
  <c r="AA616" i="2"/>
  <c r="R616" i="2"/>
  <c r="O616" i="2"/>
  <c r="N616" i="2"/>
  <c r="AM615" i="2"/>
  <c r="AB615" i="2"/>
  <c r="AA615" i="2"/>
  <c r="R615" i="2"/>
  <c r="O615" i="2"/>
  <c r="N615" i="2"/>
  <c r="AM614" i="2"/>
  <c r="AB614" i="2"/>
  <c r="AA614" i="2"/>
  <c r="R614" i="2"/>
  <c r="O614" i="2"/>
  <c r="N614" i="2"/>
  <c r="AM613" i="2"/>
  <c r="AB613" i="2"/>
  <c r="AA613" i="2"/>
  <c r="R613" i="2"/>
  <c r="O613" i="2"/>
  <c r="N613" i="2"/>
  <c r="AM612" i="2"/>
  <c r="AB612" i="2"/>
  <c r="AA612" i="2"/>
  <c r="R612" i="2"/>
  <c r="O612" i="2"/>
  <c r="N612" i="2"/>
  <c r="AM611" i="2"/>
  <c r="AB611" i="2"/>
  <c r="AA611" i="2"/>
  <c r="R611" i="2"/>
  <c r="O611" i="2"/>
  <c r="N611" i="2"/>
  <c r="AM610" i="2"/>
  <c r="AB610" i="2"/>
  <c r="AA610" i="2"/>
  <c r="R610" i="2"/>
  <c r="O610" i="2"/>
  <c r="N610" i="2"/>
  <c r="AM609" i="2"/>
  <c r="AB609" i="2"/>
  <c r="AA609" i="2"/>
  <c r="R609" i="2"/>
  <c r="O609" i="2"/>
  <c r="N609" i="2"/>
  <c r="AM608" i="2"/>
  <c r="AB608" i="2"/>
  <c r="AA608" i="2"/>
  <c r="R608" i="2"/>
  <c r="O608" i="2"/>
  <c r="N608" i="2"/>
  <c r="AM607" i="2"/>
  <c r="AB607" i="2"/>
  <c r="AA607" i="2"/>
  <c r="R607" i="2"/>
  <c r="O607" i="2"/>
  <c r="N607" i="2"/>
  <c r="AM606" i="2"/>
  <c r="AB606" i="2"/>
  <c r="AA606" i="2"/>
  <c r="R606" i="2"/>
  <c r="O606" i="2"/>
  <c r="N606" i="2"/>
  <c r="AM605" i="2"/>
  <c r="AB605" i="2"/>
  <c r="AA605" i="2"/>
  <c r="R605" i="2"/>
  <c r="O605" i="2"/>
  <c r="N605" i="2"/>
  <c r="AM604" i="2"/>
  <c r="AB604" i="2"/>
  <c r="AA604" i="2"/>
  <c r="R604" i="2"/>
  <c r="O604" i="2"/>
  <c r="N604" i="2"/>
  <c r="AM603" i="2"/>
  <c r="AB603" i="2"/>
  <c r="AA603" i="2"/>
  <c r="R603" i="2"/>
  <c r="O603" i="2"/>
  <c r="N603" i="2"/>
  <c r="AM602" i="2"/>
  <c r="AB602" i="2"/>
  <c r="AA602" i="2"/>
  <c r="R602" i="2"/>
  <c r="O602" i="2"/>
  <c r="N602" i="2"/>
  <c r="AM601" i="2"/>
  <c r="AB601" i="2"/>
  <c r="AA601" i="2"/>
  <c r="R601" i="2"/>
  <c r="O601" i="2"/>
  <c r="N601" i="2"/>
  <c r="AM600" i="2"/>
  <c r="AB600" i="2"/>
  <c r="AA600" i="2"/>
  <c r="R600" i="2"/>
  <c r="O600" i="2"/>
  <c r="N600" i="2"/>
  <c r="AM599" i="2"/>
  <c r="AB599" i="2"/>
  <c r="AA599" i="2"/>
  <c r="R599" i="2"/>
  <c r="O599" i="2"/>
  <c r="N599" i="2"/>
  <c r="AM598" i="2"/>
  <c r="AB598" i="2"/>
  <c r="AA598" i="2"/>
  <c r="R598" i="2"/>
  <c r="O598" i="2"/>
  <c r="N598" i="2"/>
  <c r="AM597" i="2"/>
  <c r="AB597" i="2"/>
  <c r="AA597" i="2"/>
  <c r="R597" i="2"/>
  <c r="O597" i="2"/>
  <c r="N597" i="2"/>
  <c r="AM596" i="2"/>
  <c r="AB596" i="2"/>
  <c r="AA596" i="2"/>
  <c r="R596" i="2"/>
  <c r="O596" i="2"/>
  <c r="N596" i="2"/>
  <c r="AM595" i="2"/>
  <c r="AB595" i="2"/>
  <c r="AA595" i="2"/>
  <c r="R595" i="2"/>
  <c r="O595" i="2"/>
  <c r="N595" i="2"/>
  <c r="AM594" i="2"/>
  <c r="AB594" i="2"/>
  <c r="AA594" i="2"/>
  <c r="R594" i="2"/>
  <c r="O594" i="2"/>
  <c r="N594" i="2"/>
  <c r="AM593" i="2"/>
  <c r="AB593" i="2"/>
  <c r="AA593" i="2"/>
  <c r="R593" i="2"/>
  <c r="O593" i="2"/>
  <c r="N593" i="2"/>
  <c r="AM592" i="2"/>
  <c r="AB592" i="2"/>
  <c r="AA592" i="2"/>
  <c r="R592" i="2"/>
  <c r="O592" i="2"/>
  <c r="N592" i="2"/>
  <c r="AM591" i="2"/>
  <c r="AB591" i="2"/>
  <c r="AA591" i="2"/>
  <c r="R591" i="2"/>
  <c r="O591" i="2"/>
  <c r="N591" i="2"/>
  <c r="AM590" i="2"/>
  <c r="AB590" i="2"/>
  <c r="AA590" i="2"/>
  <c r="R590" i="2"/>
  <c r="O590" i="2"/>
  <c r="N590" i="2"/>
  <c r="AM589" i="2"/>
  <c r="AB589" i="2"/>
  <c r="AA589" i="2"/>
  <c r="R589" i="2"/>
  <c r="O589" i="2"/>
  <c r="N589" i="2"/>
  <c r="AM588" i="2"/>
  <c r="AB588" i="2"/>
  <c r="AA588" i="2"/>
  <c r="R588" i="2"/>
  <c r="O588" i="2"/>
  <c r="N588" i="2"/>
  <c r="AM587" i="2"/>
  <c r="AB587" i="2"/>
  <c r="AA587" i="2"/>
  <c r="R587" i="2"/>
  <c r="O587" i="2"/>
  <c r="N587" i="2"/>
  <c r="AM586" i="2"/>
  <c r="AB586" i="2"/>
  <c r="AA586" i="2"/>
  <c r="R586" i="2"/>
  <c r="O586" i="2"/>
  <c r="N586" i="2"/>
  <c r="AM585" i="2"/>
  <c r="AB585" i="2"/>
  <c r="AA585" i="2"/>
  <c r="R585" i="2"/>
  <c r="O585" i="2"/>
  <c r="N585" i="2"/>
  <c r="AM584" i="2"/>
  <c r="AB584" i="2"/>
  <c r="AA584" i="2"/>
  <c r="R584" i="2"/>
  <c r="O584" i="2"/>
  <c r="N584" i="2"/>
  <c r="AM583" i="2"/>
  <c r="AB583" i="2"/>
  <c r="AA583" i="2"/>
  <c r="R583" i="2"/>
  <c r="O583" i="2"/>
  <c r="N583" i="2"/>
  <c r="AM582" i="2"/>
  <c r="AB582" i="2"/>
  <c r="AA582" i="2"/>
  <c r="R582" i="2"/>
  <c r="O582" i="2"/>
  <c r="N582" i="2"/>
  <c r="AM581" i="2"/>
  <c r="AB581" i="2"/>
  <c r="AA581" i="2"/>
  <c r="R581" i="2"/>
  <c r="O581" i="2"/>
  <c r="N581" i="2"/>
  <c r="AM580" i="2"/>
  <c r="AB580" i="2"/>
  <c r="AA580" i="2"/>
  <c r="R580" i="2"/>
  <c r="O580" i="2"/>
  <c r="N580" i="2"/>
  <c r="AM579" i="2"/>
  <c r="AB579" i="2"/>
  <c r="AA579" i="2"/>
  <c r="R579" i="2"/>
  <c r="O579" i="2"/>
  <c r="N579" i="2"/>
  <c r="AM578" i="2"/>
  <c r="AB578" i="2"/>
  <c r="AA578" i="2"/>
  <c r="R578" i="2"/>
  <c r="O578" i="2"/>
  <c r="N578" i="2"/>
  <c r="AM577" i="2"/>
  <c r="AB577" i="2"/>
  <c r="AA577" i="2"/>
  <c r="R577" i="2"/>
  <c r="O577" i="2"/>
  <c r="N577" i="2"/>
  <c r="AM576" i="2"/>
  <c r="AB576" i="2"/>
  <c r="AA576" i="2"/>
  <c r="R576" i="2"/>
  <c r="O576" i="2"/>
  <c r="N576" i="2"/>
  <c r="AM575" i="2"/>
  <c r="AB575" i="2"/>
  <c r="AA575" i="2"/>
  <c r="R575" i="2"/>
  <c r="O575" i="2"/>
  <c r="N575" i="2"/>
  <c r="AM574" i="2"/>
  <c r="AB574" i="2"/>
  <c r="AA574" i="2"/>
  <c r="R574" i="2"/>
  <c r="O574" i="2"/>
  <c r="N574" i="2"/>
  <c r="AM573" i="2"/>
  <c r="AB573" i="2"/>
  <c r="AA573" i="2"/>
  <c r="R573" i="2"/>
  <c r="O573" i="2"/>
  <c r="N573" i="2"/>
  <c r="AM572" i="2"/>
  <c r="AB572" i="2"/>
  <c r="AA572" i="2"/>
  <c r="R572" i="2"/>
  <c r="O572" i="2"/>
  <c r="N572" i="2"/>
  <c r="AM571" i="2"/>
  <c r="AB571" i="2"/>
  <c r="AA571" i="2"/>
  <c r="R571" i="2"/>
  <c r="O571" i="2"/>
  <c r="N571" i="2"/>
  <c r="AM570" i="2"/>
  <c r="AB570" i="2"/>
  <c r="AA570" i="2"/>
  <c r="R570" i="2"/>
  <c r="O570" i="2"/>
  <c r="N570" i="2"/>
  <c r="AM569" i="2"/>
  <c r="AB569" i="2"/>
  <c r="AA569" i="2"/>
  <c r="R569" i="2"/>
  <c r="O569" i="2"/>
  <c r="N569" i="2"/>
  <c r="AM568" i="2"/>
  <c r="AB568" i="2"/>
  <c r="AA568" i="2"/>
  <c r="R568" i="2"/>
  <c r="O568" i="2"/>
  <c r="N568" i="2"/>
  <c r="AM567" i="2"/>
  <c r="AB567" i="2"/>
  <c r="AA567" i="2"/>
  <c r="R567" i="2"/>
  <c r="O567" i="2"/>
  <c r="N567" i="2"/>
  <c r="AM566" i="2"/>
  <c r="AB566" i="2"/>
  <c r="AA566" i="2"/>
  <c r="R566" i="2"/>
  <c r="O566" i="2"/>
  <c r="N566" i="2"/>
  <c r="AM565" i="2"/>
  <c r="AB565" i="2"/>
  <c r="AA565" i="2"/>
  <c r="R565" i="2"/>
  <c r="O565" i="2"/>
  <c r="N565" i="2"/>
  <c r="AM564" i="2"/>
  <c r="AB564" i="2"/>
  <c r="AA564" i="2"/>
  <c r="R564" i="2"/>
  <c r="O564" i="2"/>
  <c r="N564" i="2"/>
  <c r="AM563" i="2"/>
  <c r="AB563" i="2"/>
  <c r="AA563" i="2"/>
  <c r="R563" i="2"/>
  <c r="O563" i="2"/>
  <c r="N563" i="2"/>
  <c r="AM562" i="2"/>
  <c r="AB562" i="2"/>
  <c r="AA562" i="2"/>
  <c r="R562" i="2"/>
  <c r="O562" i="2"/>
  <c r="N562" i="2"/>
  <c r="AM561" i="2"/>
  <c r="AB561" i="2"/>
  <c r="AA561" i="2"/>
  <c r="R561" i="2"/>
  <c r="O561" i="2"/>
  <c r="N561" i="2"/>
  <c r="AM560" i="2"/>
  <c r="AB560" i="2"/>
  <c r="AA560" i="2"/>
  <c r="R560" i="2"/>
  <c r="O560" i="2"/>
  <c r="N560" i="2"/>
  <c r="AM559" i="2"/>
  <c r="AB559" i="2"/>
  <c r="AA559" i="2"/>
  <c r="R559" i="2"/>
  <c r="O559" i="2"/>
  <c r="N559" i="2"/>
  <c r="AM558" i="2"/>
  <c r="AB558" i="2"/>
  <c r="AA558" i="2"/>
  <c r="R558" i="2"/>
  <c r="O558" i="2"/>
  <c r="N558" i="2"/>
  <c r="AM557" i="2"/>
  <c r="AB557" i="2"/>
  <c r="AA557" i="2"/>
  <c r="R557" i="2"/>
  <c r="O557" i="2"/>
  <c r="N557" i="2"/>
  <c r="AM556" i="2"/>
  <c r="AB556" i="2"/>
  <c r="AA556" i="2"/>
  <c r="R556" i="2"/>
  <c r="O556" i="2"/>
  <c r="N556" i="2"/>
  <c r="AM555" i="2"/>
  <c r="AB555" i="2"/>
  <c r="AA555" i="2"/>
  <c r="R555" i="2"/>
  <c r="O555" i="2"/>
  <c r="N555" i="2"/>
  <c r="AM554" i="2"/>
  <c r="AB554" i="2"/>
  <c r="AA554" i="2"/>
  <c r="R554" i="2"/>
  <c r="O554" i="2"/>
  <c r="N554" i="2"/>
  <c r="AM553" i="2"/>
  <c r="AB553" i="2"/>
  <c r="AA553" i="2"/>
  <c r="R553" i="2"/>
  <c r="O553" i="2"/>
  <c r="N553" i="2"/>
  <c r="AM552" i="2"/>
  <c r="AB552" i="2"/>
  <c r="AA552" i="2"/>
  <c r="R552" i="2"/>
  <c r="O552" i="2"/>
  <c r="N552" i="2"/>
  <c r="AM551" i="2"/>
  <c r="AB551" i="2"/>
  <c r="AA551" i="2"/>
  <c r="R551" i="2"/>
  <c r="O551" i="2"/>
  <c r="N551" i="2"/>
  <c r="AM550" i="2"/>
  <c r="AB550" i="2"/>
  <c r="AA550" i="2"/>
  <c r="R550" i="2"/>
  <c r="O550" i="2"/>
  <c r="N550" i="2"/>
  <c r="AM549" i="2"/>
  <c r="AB549" i="2"/>
  <c r="AA549" i="2"/>
  <c r="R549" i="2"/>
  <c r="O549" i="2"/>
  <c r="N549" i="2"/>
  <c r="AM548" i="2"/>
  <c r="AB548" i="2"/>
  <c r="AA548" i="2"/>
  <c r="R548" i="2"/>
  <c r="O548" i="2"/>
  <c r="N548" i="2"/>
  <c r="AM547" i="2"/>
  <c r="AB547" i="2"/>
  <c r="AA547" i="2"/>
  <c r="R547" i="2"/>
  <c r="O547" i="2"/>
  <c r="N547" i="2"/>
  <c r="AM546" i="2"/>
  <c r="AB546" i="2"/>
  <c r="AA546" i="2"/>
  <c r="R546" i="2"/>
  <c r="O546" i="2"/>
  <c r="N546" i="2"/>
  <c r="AM545" i="2"/>
  <c r="AB545" i="2"/>
  <c r="AA545" i="2"/>
  <c r="R545" i="2"/>
  <c r="O545" i="2"/>
  <c r="N545" i="2"/>
  <c r="AM544" i="2"/>
  <c r="AB544" i="2"/>
  <c r="AA544" i="2"/>
  <c r="R544" i="2"/>
  <c r="O544" i="2"/>
  <c r="N544" i="2"/>
  <c r="AM543" i="2"/>
  <c r="AB543" i="2"/>
  <c r="AA543" i="2"/>
  <c r="R543" i="2"/>
  <c r="O543" i="2"/>
  <c r="N543" i="2"/>
  <c r="AM542" i="2"/>
  <c r="AB542" i="2"/>
  <c r="AA542" i="2"/>
  <c r="R542" i="2"/>
  <c r="O542" i="2"/>
  <c r="N542" i="2"/>
  <c r="AM541" i="2"/>
  <c r="AB541" i="2"/>
  <c r="AA541" i="2"/>
  <c r="R541" i="2"/>
  <c r="O541" i="2"/>
  <c r="N541" i="2"/>
  <c r="AM540" i="2"/>
  <c r="AB540" i="2"/>
  <c r="AA540" i="2"/>
  <c r="R540" i="2"/>
  <c r="O540" i="2"/>
  <c r="N540" i="2"/>
  <c r="AM539" i="2"/>
  <c r="AB539" i="2"/>
  <c r="AA539" i="2"/>
  <c r="R539" i="2"/>
  <c r="O539" i="2"/>
  <c r="N539" i="2"/>
  <c r="AM538" i="2"/>
  <c r="AB538" i="2"/>
  <c r="AA538" i="2"/>
  <c r="R538" i="2"/>
  <c r="O538" i="2"/>
  <c r="N538" i="2"/>
  <c r="AM537" i="2"/>
  <c r="AB537" i="2"/>
  <c r="AA537" i="2"/>
  <c r="R537" i="2"/>
  <c r="O537" i="2"/>
  <c r="N537" i="2"/>
  <c r="AM536" i="2"/>
  <c r="AB536" i="2"/>
  <c r="AA536" i="2"/>
  <c r="R536" i="2"/>
  <c r="O536" i="2"/>
  <c r="N536" i="2"/>
  <c r="AM535" i="2"/>
  <c r="AB535" i="2"/>
  <c r="AA535" i="2"/>
  <c r="R535" i="2"/>
  <c r="O535" i="2"/>
  <c r="N535" i="2"/>
  <c r="AM534" i="2"/>
  <c r="AB534" i="2"/>
  <c r="AA534" i="2"/>
  <c r="R534" i="2"/>
  <c r="O534" i="2"/>
  <c r="N534" i="2"/>
  <c r="AM533" i="2"/>
  <c r="AB533" i="2"/>
  <c r="AA533" i="2"/>
  <c r="R533" i="2"/>
  <c r="O533" i="2"/>
  <c r="N533" i="2"/>
  <c r="AM532" i="2"/>
  <c r="AB532" i="2"/>
  <c r="AA532" i="2"/>
  <c r="R532" i="2"/>
  <c r="O532" i="2"/>
  <c r="N532" i="2"/>
  <c r="AM531" i="2"/>
  <c r="AB531" i="2"/>
  <c r="AA531" i="2"/>
  <c r="R531" i="2"/>
  <c r="O531" i="2"/>
  <c r="N531" i="2"/>
  <c r="AM530" i="2"/>
  <c r="AB530" i="2"/>
  <c r="AA530" i="2"/>
  <c r="R530" i="2"/>
  <c r="O530" i="2"/>
  <c r="N530" i="2"/>
  <c r="AM529" i="2"/>
  <c r="AB529" i="2"/>
  <c r="AA529" i="2"/>
  <c r="R529" i="2"/>
  <c r="O529" i="2"/>
  <c r="N529" i="2"/>
  <c r="AM528" i="2"/>
  <c r="AB528" i="2"/>
  <c r="AA528" i="2"/>
  <c r="R528" i="2"/>
  <c r="O528" i="2"/>
  <c r="N528" i="2"/>
  <c r="AM527" i="2"/>
  <c r="AB527" i="2"/>
  <c r="AA527" i="2"/>
  <c r="R527" i="2"/>
  <c r="O527" i="2"/>
  <c r="N527" i="2"/>
  <c r="AM526" i="2"/>
  <c r="AB526" i="2"/>
  <c r="AA526" i="2"/>
  <c r="R526" i="2"/>
  <c r="O526" i="2"/>
  <c r="N526" i="2"/>
  <c r="AM525" i="2"/>
  <c r="AB525" i="2"/>
  <c r="AA525" i="2"/>
  <c r="R525" i="2"/>
  <c r="O525" i="2"/>
  <c r="N525" i="2"/>
  <c r="AM524" i="2"/>
  <c r="AB524" i="2"/>
  <c r="AA524" i="2"/>
  <c r="R524" i="2"/>
  <c r="O524" i="2"/>
  <c r="N524" i="2"/>
  <c r="AM523" i="2"/>
  <c r="AB523" i="2"/>
  <c r="AA523" i="2"/>
  <c r="R523" i="2"/>
  <c r="O523" i="2"/>
  <c r="N523" i="2"/>
  <c r="AM522" i="2"/>
  <c r="AB522" i="2"/>
  <c r="AA522" i="2"/>
  <c r="R522" i="2"/>
  <c r="O522" i="2"/>
  <c r="N522" i="2"/>
  <c r="AM521" i="2"/>
  <c r="AB521" i="2"/>
  <c r="AA521" i="2"/>
  <c r="R521" i="2"/>
  <c r="O521" i="2"/>
  <c r="N521" i="2"/>
  <c r="AM520" i="2"/>
  <c r="AB520" i="2"/>
  <c r="AA520" i="2"/>
  <c r="R520" i="2"/>
  <c r="O520" i="2"/>
  <c r="N520" i="2"/>
  <c r="AM519" i="2"/>
  <c r="AB519" i="2"/>
  <c r="AA519" i="2"/>
  <c r="R519" i="2"/>
  <c r="O519" i="2"/>
  <c r="N519" i="2"/>
  <c r="AM518" i="2"/>
  <c r="AB518" i="2"/>
  <c r="AA518" i="2"/>
  <c r="R518" i="2"/>
  <c r="O518" i="2"/>
  <c r="N518" i="2"/>
  <c r="AM517" i="2"/>
  <c r="AB517" i="2"/>
  <c r="AA517" i="2"/>
  <c r="R517" i="2"/>
  <c r="O517" i="2"/>
  <c r="N517" i="2"/>
  <c r="AM516" i="2"/>
  <c r="AB516" i="2"/>
  <c r="AA516" i="2"/>
  <c r="R516" i="2"/>
  <c r="O516" i="2"/>
  <c r="N516" i="2"/>
  <c r="AM515" i="2"/>
  <c r="AB515" i="2"/>
  <c r="AA515" i="2"/>
  <c r="R515" i="2"/>
  <c r="O515" i="2"/>
  <c r="N515" i="2"/>
  <c r="AM514" i="2"/>
  <c r="AB514" i="2"/>
  <c r="AA514" i="2"/>
  <c r="R514" i="2"/>
  <c r="O514" i="2"/>
  <c r="N514" i="2"/>
  <c r="AM513" i="2"/>
  <c r="AB513" i="2"/>
  <c r="AA513" i="2"/>
  <c r="R513" i="2"/>
  <c r="O513" i="2"/>
  <c r="N513" i="2"/>
  <c r="AM512" i="2"/>
  <c r="AB512" i="2"/>
  <c r="AA512" i="2"/>
  <c r="R512" i="2"/>
  <c r="O512" i="2"/>
  <c r="N512" i="2"/>
  <c r="AM511" i="2"/>
  <c r="AB511" i="2"/>
  <c r="AA511" i="2"/>
  <c r="R511" i="2"/>
  <c r="O511" i="2"/>
  <c r="N511" i="2"/>
  <c r="AM510" i="2"/>
  <c r="AB510" i="2"/>
  <c r="AA510" i="2"/>
  <c r="R510" i="2"/>
  <c r="O510" i="2"/>
  <c r="N510" i="2"/>
  <c r="AM509" i="2"/>
  <c r="AB509" i="2"/>
  <c r="AA509" i="2"/>
  <c r="R509" i="2"/>
  <c r="O509" i="2"/>
  <c r="N509" i="2"/>
  <c r="AM508" i="2"/>
  <c r="AB508" i="2"/>
  <c r="AA508" i="2"/>
  <c r="R508" i="2"/>
  <c r="O508" i="2"/>
  <c r="N508" i="2"/>
  <c r="AM507" i="2"/>
  <c r="AB507" i="2"/>
  <c r="AA507" i="2"/>
  <c r="R507" i="2"/>
  <c r="O507" i="2"/>
  <c r="N507" i="2"/>
  <c r="AM506" i="2"/>
  <c r="AB506" i="2"/>
  <c r="AA506" i="2"/>
  <c r="R506" i="2"/>
  <c r="O506" i="2"/>
  <c r="N506" i="2"/>
  <c r="AM505" i="2"/>
  <c r="AB505" i="2"/>
  <c r="AA505" i="2"/>
  <c r="R505" i="2"/>
  <c r="O505" i="2"/>
  <c r="N505" i="2"/>
  <c r="AM504" i="2"/>
  <c r="AB504" i="2"/>
  <c r="AA504" i="2"/>
  <c r="R504" i="2"/>
  <c r="O504" i="2"/>
  <c r="N504" i="2"/>
  <c r="AM503" i="2"/>
  <c r="AB503" i="2"/>
  <c r="AA503" i="2"/>
  <c r="R503" i="2"/>
  <c r="O503" i="2"/>
  <c r="N503" i="2"/>
  <c r="AM502" i="2"/>
  <c r="AB502" i="2"/>
  <c r="AA502" i="2"/>
  <c r="R502" i="2"/>
  <c r="O502" i="2"/>
  <c r="N502" i="2"/>
  <c r="AM501" i="2"/>
  <c r="AB501" i="2"/>
  <c r="AA501" i="2"/>
  <c r="R501" i="2"/>
  <c r="O501" i="2"/>
  <c r="N501" i="2"/>
  <c r="AM500" i="2"/>
  <c r="AB500" i="2"/>
  <c r="AA500" i="2"/>
  <c r="R500" i="2"/>
  <c r="O500" i="2"/>
  <c r="N500" i="2"/>
  <c r="AM499" i="2"/>
  <c r="AB499" i="2"/>
  <c r="AA499" i="2"/>
  <c r="R499" i="2"/>
  <c r="O499" i="2"/>
  <c r="N499" i="2"/>
  <c r="AM498" i="2"/>
  <c r="AB498" i="2"/>
  <c r="AA498" i="2"/>
  <c r="R498" i="2"/>
  <c r="O498" i="2"/>
  <c r="N498" i="2"/>
  <c r="AM497" i="2"/>
  <c r="AB497" i="2"/>
  <c r="AA497" i="2"/>
  <c r="R497" i="2"/>
  <c r="O497" i="2"/>
  <c r="N497" i="2"/>
  <c r="AM496" i="2"/>
  <c r="AB496" i="2"/>
  <c r="AA496" i="2"/>
  <c r="R496" i="2"/>
  <c r="O496" i="2"/>
  <c r="N496" i="2"/>
  <c r="AM495" i="2"/>
  <c r="AB495" i="2"/>
  <c r="AA495" i="2"/>
  <c r="R495" i="2"/>
  <c r="O495" i="2"/>
  <c r="N495" i="2"/>
  <c r="AM494" i="2"/>
  <c r="AB494" i="2"/>
  <c r="AA494" i="2"/>
  <c r="R494" i="2"/>
  <c r="O494" i="2"/>
  <c r="N494" i="2"/>
  <c r="AM493" i="2"/>
  <c r="AB493" i="2"/>
  <c r="AA493" i="2"/>
  <c r="R493" i="2"/>
  <c r="O493" i="2"/>
  <c r="N493" i="2"/>
  <c r="AM492" i="2"/>
  <c r="AB492" i="2"/>
  <c r="AA492" i="2"/>
  <c r="R492" i="2"/>
  <c r="O492" i="2"/>
  <c r="N492" i="2"/>
  <c r="AM491" i="2"/>
  <c r="AB491" i="2"/>
  <c r="AA491" i="2"/>
  <c r="R491" i="2"/>
  <c r="O491" i="2"/>
  <c r="N491" i="2"/>
  <c r="AM490" i="2"/>
  <c r="AB490" i="2"/>
  <c r="AA490" i="2"/>
  <c r="R490" i="2"/>
  <c r="O490" i="2"/>
  <c r="N490" i="2"/>
  <c r="AM489" i="2"/>
  <c r="AB489" i="2"/>
  <c r="AA489" i="2"/>
  <c r="R489" i="2"/>
  <c r="O489" i="2"/>
  <c r="N489" i="2"/>
  <c r="AM488" i="2"/>
  <c r="AB488" i="2"/>
  <c r="AA488" i="2"/>
  <c r="R488" i="2"/>
  <c r="O488" i="2"/>
  <c r="N488" i="2"/>
  <c r="AM487" i="2"/>
  <c r="AB487" i="2"/>
  <c r="AA487" i="2"/>
  <c r="R487" i="2"/>
  <c r="O487" i="2"/>
  <c r="N487" i="2"/>
  <c r="AM486" i="2"/>
  <c r="AB486" i="2"/>
  <c r="AA486" i="2"/>
  <c r="R486" i="2"/>
  <c r="O486" i="2"/>
  <c r="N486" i="2"/>
  <c r="AM485" i="2"/>
  <c r="AB485" i="2"/>
  <c r="AA485" i="2"/>
  <c r="R485" i="2"/>
  <c r="O485" i="2"/>
  <c r="N485" i="2"/>
  <c r="AM484" i="2"/>
  <c r="AB484" i="2"/>
  <c r="AA484" i="2"/>
  <c r="R484" i="2"/>
  <c r="O484" i="2"/>
  <c r="N484" i="2"/>
  <c r="AM483" i="2"/>
  <c r="AB483" i="2"/>
  <c r="AA483" i="2"/>
  <c r="R483" i="2"/>
  <c r="O483" i="2"/>
  <c r="N483" i="2"/>
  <c r="AM482" i="2"/>
  <c r="AB482" i="2"/>
  <c r="AA482" i="2"/>
  <c r="R482" i="2"/>
  <c r="O482" i="2"/>
  <c r="N482" i="2"/>
  <c r="AM481" i="2"/>
  <c r="AB481" i="2"/>
  <c r="AA481" i="2"/>
  <c r="R481" i="2"/>
  <c r="O481" i="2"/>
  <c r="N481" i="2"/>
  <c r="AM480" i="2"/>
  <c r="AB480" i="2"/>
  <c r="AA480" i="2"/>
  <c r="R480" i="2"/>
  <c r="O480" i="2"/>
  <c r="N480" i="2"/>
  <c r="AM479" i="2"/>
  <c r="AB479" i="2"/>
  <c r="AA479" i="2"/>
  <c r="R479" i="2"/>
  <c r="O479" i="2"/>
  <c r="N479" i="2"/>
  <c r="AM478" i="2"/>
  <c r="AB478" i="2"/>
  <c r="AA478" i="2"/>
  <c r="R478" i="2"/>
  <c r="O478" i="2"/>
  <c r="N478" i="2"/>
  <c r="AM477" i="2"/>
  <c r="AB477" i="2"/>
  <c r="AA477" i="2"/>
  <c r="R477" i="2"/>
  <c r="O477" i="2"/>
  <c r="N477" i="2"/>
  <c r="AM476" i="2"/>
  <c r="AB476" i="2"/>
  <c r="AA476" i="2"/>
  <c r="R476" i="2"/>
  <c r="O476" i="2"/>
  <c r="N476" i="2"/>
  <c r="AM475" i="2"/>
  <c r="AB475" i="2"/>
  <c r="AA475" i="2"/>
  <c r="R475" i="2"/>
  <c r="O475" i="2"/>
  <c r="N475" i="2"/>
  <c r="AM474" i="2"/>
  <c r="AB474" i="2"/>
  <c r="AA474" i="2"/>
  <c r="R474" i="2"/>
  <c r="O474" i="2"/>
  <c r="N474" i="2"/>
  <c r="AM473" i="2"/>
  <c r="AB473" i="2"/>
  <c r="AA473" i="2"/>
  <c r="R473" i="2"/>
  <c r="O473" i="2"/>
  <c r="N473" i="2"/>
  <c r="AM472" i="2"/>
  <c r="AB472" i="2"/>
  <c r="AA472" i="2"/>
  <c r="R472" i="2"/>
  <c r="O472" i="2"/>
  <c r="N472" i="2"/>
  <c r="AM471" i="2"/>
  <c r="AB471" i="2"/>
  <c r="AA471" i="2"/>
  <c r="R471" i="2"/>
  <c r="O471" i="2"/>
  <c r="N471" i="2"/>
  <c r="AM470" i="2"/>
  <c r="AB470" i="2"/>
  <c r="AA470" i="2"/>
  <c r="R470" i="2"/>
  <c r="O470" i="2"/>
  <c r="N470" i="2"/>
  <c r="AM469" i="2"/>
  <c r="AB469" i="2"/>
  <c r="AA469" i="2"/>
  <c r="R469" i="2"/>
  <c r="O469" i="2"/>
  <c r="N469" i="2"/>
  <c r="AM468" i="2"/>
  <c r="AB468" i="2"/>
  <c r="AA468" i="2"/>
  <c r="R468" i="2"/>
  <c r="O468" i="2"/>
  <c r="N468" i="2"/>
  <c r="AM467" i="2"/>
  <c r="AB467" i="2"/>
  <c r="AA467" i="2"/>
  <c r="R467" i="2"/>
  <c r="O467" i="2"/>
  <c r="N467" i="2"/>
  <c r="AM466" i="2"/>
  <c r="AB466" i="2"/>
  <c r="AA466" i="2"/>
  <c r="R466" i="2"/>
  <c r="O466" i="2"/>
  <c r="N466" i="2"/>
  <c r="AM465" i="2"/>
  <c r="AB465" i="2"/>
  <c r="AA465" i="2"/>
  <c r="R465" i="2"/>
  <c r="O465" i="2"/>
  <c r="N465" i="2"/>
  <c r="AM464" i="2"/>
  <c r="AB464" i="2"/>
  <c r="AA464" i="2"/>
  <c r="R464" i="2"/>
  <c r="O464" i="2"/>
  <c r="N464" i="2"/>
  <c r="AM463" i="2"/>
  <c r="AB463" i="2"/>
  <c r="AA463" i="2"/>
  <c r="R463" i="2"/>
  <c r="O463" i="2"/>
  <c r="N463" i="2"/>
  <c r="AM462" i="2"/>
  <c r="AB462" i="2"/>
  <c r="AA462" i="2"/>
  <c r="R462" i="2"/>
  <c r="O462" i="2"/>
  <c r="N462" i="2"/>
  <c r="AM461" i="2"/>
  <c r="AB461" i="2"/>
  <c r="AA461" i="2"/>
  <c r="R461" i="2"/>
  <c r="O461" i="2"/>
  <c r="N461" i="2"/>
  <c r="AM460" i="2"/>
  <c r="AB460" i="2"/>
  <c r="AA460" i="2"/>
  <c r="R460" i="2"/>
  <c r="O460" i="2"/>
  <c r="N460" i="2"/>
  <c r="AM459" i="2"/>
  <c r="AB459" i="2"/>
  <c r="AA459" i="2"/>
  <c r="R459" i="2"/>
  <c r="O459" i="2"/>
  <c r="N459" i="2"/>
  <c r="AM458" i="2"/>
  <c r="AB458" i="2"/>
  <c r="AA458" i="2"/>
  <c r="R458" i="2"/>
  <c r="O458" i="2"/>
  <c r="N458" i="2"/>
  <c r="AM457" i="2"/>
  <c r="AB457" i="2"/>
  <c r="AA457" i="2"/>
  <c r="R457" i="2"/>
  <c r="O457" i="2"/>
  <c r="N457" i="2"/>
  <c r="AM456" i="2"/>
  <c r="AB456" i="2"/>
  <c r="AA456" i="2"/>
  <c r="R456" i="2"/>
  <c r="O456" i="2"/>
  <c r="N456" i="2"/>
  <c r="AM455" i="2"/>
  <c r="AB455" i="2"/>
  <c r="AA455" i="2"/>
  <c r="R455" i="2"/>
  <c r="O455" i="2"/>
  <c r="N455" i="2"/>
  <c r="AM454" i="2"/>
  <c r="AB454" i="2"/>
  <c r="AA454" i="2"/>
  <c r="R454" i="2"/>
  <c r="O454" i="2"/>
  <c r="N454" i="2"/>
  <c r="AM453" i="2"/>
  <c r="AB453" i="2"/>
  <c r="AA453" i="2"/>
  <c r="R453" i="2"/>
  <c r="O453" i="2"/>
  <c r="N453" i="2"/>
  <c r="AM452" i="2"/>
  <c r="AB452" i="2"/>
  <c r="AA452" i="2"/>
  <c r="R452" i="2"/>
  <c r="O452" i="2"/>
  <c r="N452" i="2"/>
  <c r="AM451" i="2"/>
  <c r="AB451" i="2"/>
  <c r="AA451" i="2"/>
  <c r="R451" i="2"/>
  <c r="O451" i="2"/>
  <c r="N451" i="2"/>
  <c r="AM450" i="2"/>
  <c r="AB450" i="2"/>
  <c r="AA450" i="2"/>
  <c r="R450" i="2"/>
  <c r="O450" i="2"/>
  <c r="N450" i="2"/>
  <c r="AM449" i="2"/>
  <c r="AB449" i="2"/>
  <c r="AA449" i="2"/>
  <c r="R449" i="2"/>
  <c r="O449" i="2"/>
  <c r="N449" i="2"/>
  <c r="AM448" i="2"/>
  <c r="AB448" i="2"/>
  <c r="AA448" i="2"/>
  <c r="R448" i="2"/>
  <c r="O448" i="2"/>
  <c r="N448" i="2"/>
  <c r="AM447" i="2"/>
  <c r="AB447" i="2"/>
  <c r="AA447" i="2"/>
  <c r="R447" i="2"/>
  <c r="O447" i="2"/>
  <c r="N447" i="2"/>
  <c r="AM446" i="2"/>
  <c r="AB446" i="2"/>
  <c r="AA446" i="2"/>
  <c r="R446" i="2"/>
  <c r="O446" i="2"/>
  <c r="N446" i="2"/>
  <c r="AM445" i="2"/>
  <c r="AB445" i="2"/>
  <c r="AA445" i="2"/>
  <c r="R445" i="2"/>
  <c r="O445" i="2"/>
  <c r="N445" i="2"/>
  <c r="AM444" i="2"/>
  <c r="AB444" i="2"/>
  <c r="AA444" i="2"/>
  <c r="R444" i="2"/>
  <c r="O444" i="2"/>
  <c r="N444" i="2"/>
  <c r="AM443" i="2"/>
  <c r="AB443" i="2"/>
  <c r="AA443" i="2"/>
  <c r="R443" i="2"/>
  <c r="O443" i="2"/>
  <c r="N443" i="2"/>
  <c r="AM442" i="2"/>
  <c r="AB442" i="2"/>
  <c r="AA442" i="2"/>
  <c r="R442" i="2"/>
  <c r="O442" i="2"/>
  <c r="N442" i="2"/>
  <c r="AM441" i="2"/>
  <c r="AB441" i="2"/>
  <c r="AA441" i="2"/>
  <c r="R441" i="2"/>
  <c r="O441" i="2"/>
  <c r="N441" i="2"/>
  <c r="AM440" i="2"/>
  <c r="AB440" i="2"/>
  <c r="AA440" i="2"/>
  <c r="R440" i="2"/>
  <c r="O440" i="2"/>
  <c r="N440" i="2"/>
  <c r="AM439" i="2"/>
  <c r="AB439" i="2"/>
  <c r="AA439" i="2"/>
  <c r="R439" i="2"/>
  <c r="O439" i="2"/>
  <c r="N439" i="2"/>
  <c r="AM438" i="2"/>
  <c r="AB438" i="2"/>
  <c r="AA438" i="2"/>
  <c r="R438" i="2"/>
  <c r="O438" i="2"/>
  <c r="N438" i="2"/>
  <c r="AM437" i="2"/>
  <c r="AB437" i="2"/>
  <c r="AA437" i="2"/>
  <c r="R437" i="2"/>
  <c r="O437" i="2"/>
  <c r="N437" i="2"/>
  <c r="AM436" i="2"/>
  <c r="AB436" i="2"/>
  <c r="AA436" i="2"/>
  <c r="R436" i="2"/>
  <c r="O436" i="2"/>
  <c r="N436" i="2"/>
  <c r="AM435" i="2"/>
  <c r="AB435" i="2"/>
  <c r="AA435" i="2"/>
  <c r="R435" i="2"/>
  <c r="O435" i="2"/>
  <c r="N435" i="2"/>
  <c r="AM434" i="2"/>
  <c r="AB434" i="2"/>
  <c r="AA434" i="2"/>
  <c r="R434" i="2"/>
  <c r="O434" i="2"/>
  <c r="N434" i="2"/>
  <c r="AM433" i="2"/>
  <c r="AB433" i="2"/>
  <c r="AA433" i="2"/>
  <c r="R433" i="2"/>
  <c r="O433" i="2"/>
  <c r="N433" i="2"/>
  <c r="AM432" i="2"/>
  <c r="AB432" i="2"/>
  <c r="AA432" i="2"/>
  <c r="R432" i="2"/>
  <c r="O432" i="2"/>
  <c r="N432" i="2"/>
  <c r="AM431" i="2"/>
  <c r="AB431" i="2"/>
  <c r="AA431" i="2"/>
  <c r="R431" i="2"/>
  <c r="O431" i="2"/>
  <c r="N431" i="2"/>
  <c r="AM430" i="2"/>
  <c r="AB430" i="2"/>
  <c r="AA430" i="2"/>
  <c r="R430" i="2"/>
  <c r="O430" i="2"/>
  <c r="N430" i="2"/>
  <c r="AM429" i="2"/>
  <c r="AB429" i="2"/>
  <c r="AA429" i="2"/>
  <c r="R429" i="2"/>
  <c r="O429" i="2"/>
  <c r="N429" i="2"/>
  <c r="AM428" i="2"/>
  <c r="AB428" i="2"/>
  <c r="AA428" i="2"/>
  <c r="R428" i="2"/>
  <c r="O428" i="2"/>
  <c r="N428" i="2"/>
  <c r="AM427" i="2"/>
  <c r="AB427" i="2"/>
  <c r="AA427" i="2"/>
  <c r="R427" i="2"/>
  <c r="O427" i="2"/>
  <c r="N427" i="2"/>
  <c r="AM426" i="2"/>
  <c r="AB426" i="2"/>
  <c r="AA426" i="2"/>
  <c r="R426" i="2"/>
  <c r="O426" i="2"/>
  <c r="N426" i="2"/>
  <c r="AM425" i="2"/>
  <c r="AB425" i="2"/>
  <c r="AA425" i="2"/>
  <c r="R425" i="2"/>
  <c r="O425" i="2"/>
  <c r="N425" i="2"/>
  <c r="AM424" i="2"/>
  <c r="AB424" i="2"/>
  <c r="AA424" i="2"/>
  <c r="R424" i="2"/>
  <c r="O424" i="2"/>
  <c r="N424" i="2"/>
  <c r="AM423" i="2"/>
  <c r="AB423" i="2"/>
  <c r="AA423" i="2"/>
  <c r="R423" i="2"/>
  <c r="O423" i="2"/>
  <c r="N423" i="2"/>
  <c r="AM422" i="2"/>
  <c r="AB422" i="2"/>
  <c r="AA422" i="2"/>
  <c r="R422" i="2"/>
  <c r="O422" i="2"/>
  <c r="N422" i="2"/>
  <c r="AM421" i="2"/>
  <c r="AB421" i="2"/>
  <c r="AA421" i="2"/>
  <c r="R421" i="2"/>
  <c r="O421" i="2"/>
  <c r="N421" i="2"/>
  <c r="AM420" i="2"/>
  <c r="AB420" i="2"/>
  <c r="AA420" i="2"/>
  <c r="R420" i="2"/>
  <c r="O420" i="2"/>
  <c r="N420" i="2"/>
  <c r="AM419" i="2"/>
  <c r="AB419" i="2"/>
  <c r="AA419" i="2"/>
  <c r="R419" i="2"/>
  <c r="O419" i="2"/>
  <c r="N419" i="2"/>
  <c r="AM418" i="2"/>
  <c r="AB418" i="2"/>
  <c r="AA418" i="2"/>
  <c r="R418" i="2"/>
  <c r="O418" i="2"/>
  <c r="N418" i="2"/>
  <c r="AM417" i="2"/>
  <c r="AB417" i="2"/>
  <c r="AA417" i="2"/>
  <c r="R417" i="2"/>
  <c r="O417" i="2"/>
  <c r="N417" i="2"/>
  <c r="AM416" i="2"/>
  <c r="AB416" i="2"/>
  <c r="AA416" i="2"/>
  <c r="R416" i="2"/>
  <c r="O416" i="2"/>
  <c r="N416" i="2"/>
  <c r="AM415" i="2"/>
  <c r="AB415" i="2"/>
  <c r="AA415" i="2"/>
  <c r="R415" i="2"/>
  <c r="O415" i="2"/>
  <c r="N415" i="2"/>
  <c r="AM414" i="2"/>
  <c r="AB414" i="2"/>
  <c r="AA414" i="2"/>
  <c r="R414" i="2"/>
  <c r="O414" i="2"/>
  <c r="N414" i="2"/>
  <c r="AM413" i="2"/>
  <c r="AB413" i="2"/>
  <c r="AA413" i="2"/>
  <c r="R413" i="2"/>
  <c r="O413" i="2"/>
  <c r="N413" i="2"/>
  <c r="AM412" i="2"/>
  <c r="AB412" i="2"/>
  <c r="AA412" i="2"/>
  <c r="R412" i="2"/>
  <c r="O412" i="2"/>
  <c r="N412" i="2"/>
  <c r="AM411" i="2"/>
  <c r="AB411" i="2"/>
  <c r="AA411" i="2"/>
  <c r="R411" i="2"/>
  <c r="O411" i="2"/>
  <c r="N411" i="2"/>
  <c r="AM410" i="2"/>
  <c r="AB410" i="2"/>
  <c r="AA410" i="2"/>
  <c r="R410" i="2"/>
  <c r="O410" i="2"/>
  <c r="N410" i="2"/>
  <c r="AM409" i="2"/>
  <c r="AB409" i="2"/>
  <c r="AA409" i="2"/>
  <c r="R409" i="2"/>
  <c r="O409" i="2"/>
  <c r="N409" i="2"/>
  <c r="AM408" i="2"/>
  <c r="AB408" i="2"/>
  <c r="AA408" i="2"/>
  <c r="R408" i="2"/>
  <c r="O408" i="2"/>
  <c r="N408" i="2"/>
  <c r="AM407" i="2"/>
  <c r="AB407" i="2"/>
  <c r="AA407" i="2"/>
  <c r="R407" i="2"/>
  <c r="O407" i="2"/>
  <c r="N407" i="2"/>
  <c r="AM406" i="2"/>
  <c r="AB406" i="2"/>
  <c r="AA406" i="2"/>
  <c r="R406" i="2"/>
  <c r="O406" i="2"/>
  <c r="N406" i="2"/>
  <c r="AM405" i="2"/>
  <c r="AB405" i="2"/>
  <c r="AA405" i="2"/>
  <c r="R405" i="2"/>
  <c r="O405" i="2"/>
  <c r="N405" i="2"/>
  <c r="AM404" i="2"/>
  <c r="AB404" i="2"/>
  <c r="AA404" i="2"/>
  <c r="R404" i="2"/>
  <c r="O404" i="2"/>
  <c r="N404" i="2"/>
  <c r="AM403" i="2"/>
  <c r="AB403" i="2"/>
  <c r="AA403" i="2"/>
  <c r="R403" i="2"/>
  <c r="O403" i="2"/>
  <c r="N403" i="2"/>
  <c r="AM402" i="2"/>
  <c r="AB402" i="2"/>
  <c r="AA402" i="2"/>
  <c r="R402" i="2"/>
  <c r="O402" i="2"/>
  <c r="N402" i="2"/>
  <c r="AM401" i="2"/>
  <c r="AB401" i="2"/>
  <c r="AA401" i="2"/>
  <c r="R401" i="2"/>
  <c r="O401" i="2"/>
  <c r="N401" i="2"/>
  <c r="AM400" i="2"/>
  <c r="AB400" i="2"/>
  <c r="AA400" i="2"/>
  <c r="R400" i="2"/>
  <c r="O400" i="2"/>
  <c r="N400" i="2"/>
  <c r="AM399" i="2"/>
  <c r="AB399" i="2"/>
  <c r="AA399" i="2"/>
  <c r="R399" i="2"/>
  <c r="O399" i="2"/>
  <c r="N399" i="2"/>
  <c r="AM398" i="2"/>
  <c r="AB398" i="2"/>
  <c r="AA398" i="2"/>
  <c r="R398" i="2"/>
  <c r="O398" i="2"/>
  <c r="N398" i="2"/>
  <c r="AM397" i="2"/>
  <c r="AB397" i="2"/>
  <c r="AA397" i="2"/>
  <c r="R397" i="2"/>
  <c r="O397" i="2"/>
  <c r="N397" i="2"/>
  <c r="AM396" i="2"/>
  <c r="AB396" i="2"/>
  <c r="AA396" i="2"/>
  <c r="R396" i="2"/>
  <c r="O396" i="2"/>
  <c r="N396" i="2"/>
  <c r="AM395" i="2"/>
  <c r="AB395" i="2"/>
  <c r="AA395" i="2"/>
  <c r="R395" i="2"/>
  <c r="O395" i="2"/>
  <c r="N395" i="2"/>
  <c r="AM394" i="2"/>
  <c r="AB394" i="2"/>
  <c r="AA394" i="2"/>
  <c r="R394" i="2"/>
  <c r="O394" i="2"/>
  <c r="N394" i="2"/>
  <c r="AM393" i="2"/>
  <c r="AB393" i="2"/>
  <c r="AA393" i="2"/>
  <c r="R393" i="2"/>
  <c r="O393" i="2"/>
  <c r="N393" i="2"/>
  <c r="AM392" i="2"/>
  <c r="AB392" i="2"/>
  <c r="AA392" i="2"/>
  <c r="R392" i="2"/>
  <c r="O392" i="2"/>
  <c r="N392" i="2"/>
  <c r="AM391" i="2"/>
  <c r="AB391" i="2"/>
  <c r="AA391" i="2"/>
  <c r="R391" i="2"/>
  <c r="O391" i="2"/>
  <c r="N391" i="2"/>
  <c r="AM390" i="2"/>
  <c r="AB390" i="2"/>
  <c r="AA390" i="2"/>
  <c r="R390" i="2"/>
  <c r="O390" i="2"/>
  <c r="N390" i="2"/>
  <c r="AM389" i="2"/>
  <c r="AB389" i="2"/>
  <c r="AA389" i="2"/>
  <c r="R389" i="2"/>
  <c r="O389" i="2"/>
  <c r="N389" i="2"/>
  <c r="AM388" i="2"/>
  <c r="AB388" i="2"/>
  <c r="AA388" i="2"/>
  <c r="R388" i="2"/>
  <c r="O388" i="2"/>
  <c r="N388" i="2"/>
  <c r="AM387" i="2"/>
  <c r="AB387" i="2"/>
  <c r="AA387" i="2"/>
  <c r="R387" i="2"/>
  <c r="O387" i="2"/>
  <c r="N387" i="2"/>
  <c r="AM386" i="2"/>
  <c r="AB386" i="2"/>
  <c r="AA386" i="2"/>
  <c r="R386" i="2"/>
  <c r="O386" i="2"/>
  <c r="N386" i="2"/>
  <c r="AM385" i="2"/>
  <c r="AB385" i="2"/>
  <c r="AA385" i="2"/>
  <c r="R385" i="2"/>
  <c r="O385" i="2"/>
  <c r="N385" i="2"/>
  <c r="AM384" i="2"/>
  <c r="AB384" i="2"/>
  <c r="AA384" i="2"/>
  <c r="R384" i="2"/>
  <c r="O384" i="2"/>
  <c r="N384" i="2"/>
  <c r="AM383" i="2"/>
  <c r="AB383" i="2"/>
  <c r="AA383" i="2"/>
  <c r="R383" i="2"/>
  <c r="O383" i="2"/>
  <c r="N383" i="2"/>
  <c r="AM382" i="2"/>
  <c r="AB382" i="2"/>
  <c r="AA382" i="2"/>
  <c r="R382" i="2"/>
  <c r="O382" i="2"/>
  <c r="N382" i="2"/>
  <c r="AM381" i="2"/>
  <c r="AB381" i="2"/>
  <c r="AA381" i="2"/>
  <c r="R381" i="2"/>
  <c r="O381" i="2"/>
  <c r="N381" i="2"/>
  <c r="AM380" i="2"/>
  <c r="AB380" i="2"/>
  <c r="AA380" i="2"/>
  <c r="R380" i="2"/>
  <c r="O380" i="2"/>
  <c r="N380" i="2"/>
  <c r="AM379" i="2"/>
  <c r="AB379" i="2"/>
  <c r="AA379" i="2"/>
  <c r="R379" i="2"/>
  <c r="O379" i="2"/>
  <c r="N379" i="2"/>
  <c r="AM378" i="2"/>
  <c r="AB378" i="2"/>
  <c r="AA378" i="2"/>
  <c r="R378" i="2"/>
  <c r="O378" i="2"/>
  <c r="N378" i="2"/>
  <c r="AM377" i="2"/>
  <c r="AB377" i="2"/>
  <c r="AA377" i="2"/>
  <c r="R377" i="2"/>
  <c r="O377" i="2"/>
  <c r="N377" i="2"/>
  <c r="AM376" i="2"/>
  <c r="AB376" i="2"/>
  <c r="AA376" i="2"/>
  <c r="R376" i="2"/>
  <c r="O376" i="2"/>
  <c r="N376" i="2"/>
  <c r="AM375" i="2"/>
  <c r="AB375" i="2"/>
  <c r="AA375" i="2"/>
  <c r="R375" i="2"/>
  <c r="O375" i="2"/>
  <c r="N375" i="2"/>
  <c r="AM374" i="2"/>
  <c r="AB374" i="2"/>
  <c r="AA374" i="2"/>
  <c r="R374" i="2"/>
  <c r="O374" i="2"/>
  <c r="N374" i="2"/>
  <c r="AM373" i="2"/>
  <c r="AB373" i="2"/>
  <c r="AA373" i="2"/>
  <c r="R373" i="2"/>
  <c r="O373" i="2"/>
  <c r="N373" i="2"/>
  <c r="AM372" i="2"/>
  <c r="AB372" i="2"/>
  <c r="AA372" i="2"/>
  <c r="R372" i="2"/>
  <c r="O372" i="2"/>
  <c r="N372" i="2"/>
  <c r="AM371" i="2"/>
  <c r="AB371" i="2"/>
  <c r="AA371" i="2"/>
  <c r="R371" i="2"/>
  <c r="O371" i="2"/>
  <c r="N371" i="2"/>
  <c r="AM370" i="2"/>
  <c r="AB370" i="2"/>
  <c r="AA370" i="2"/>
  <c r="R370" i="2"/>
  <c r="O370" i="2"/>
  <c r="N370" i="2"/>
  <c r="AM369" i="2"/>
  <c r="AB369" i="2"/>
  <c r="AA369" i="2"/>
  <c r="R369" i="2"/>
  <c r="O369" i="2"/>
  <c r="N369" i="2"/>
  <c r="AM368" i="2"/>
  <c r="AB368" i="2"/>
  <c r="AA368" i="2"/>
  <c r="R368" i="2"/>
  <c r="O368" i="2"/>
  <c r="N368" i="2"/>
  <c r="AM367" i="2"/>
  <c r="AB367" i="2"/>
  <c r="AA367" i="2"/>
  <c r="R367" i="2"/>
  <c r="O367" i="2"/>
  <c r="N367" i="2"/>
  <c r="AM366" i="2"/>
  <c r="AB366" i="2"/>
  <c r="AA366" i="2"/>
  <c r="R366" i="2"/>
  <c r="O366" i="2"/>
  <c r="N366" i="2"/>
  <c r="AM365" i="2"/>
  <c r="AB365" i="2"/>
  <c r="AA365" i="2"/>
  <c r="R365" i="2"/>
  <c r="O365" i="2"/>
  <c r="N365" i="2"/>
  <c r="AM364" i="2"/>
  <c r="AB364" i="2"/>
  <c r="AA364" i="2"/>
  <c r="R364" i="2"/>
  <c r="O364" i="2"/>
  <c r="N364" i="2"/>
  <c r="AM363" i="2"/>
  <c r="AB363" i="2"/>
  <c r="AA363" i="2"/>
  <c r="R363" i="2"/>
  <c r="O363" i="2"/>
  <c r="N363" i="2"/>
  <c r="AM362" i="2"/>
  <c r="AB362" i="2"/>
  <c r="AA362" i="2"/>
  <c r="R362" i="2"/>
  <c r="O362" i="2"/>
  <c r="N362" i="2"/>
  <c r="AM361" i="2"/>
  <c r="AB361" i="2"/>
  <c r="AA361" i="2"/>
  <c r="R361" i="2"/>
  <c r="O361" i="2"/>
  <c r="N361" i="2"/>
  <c r="AM360" i="2"/>
  <c r="AB360" i="2"/>
  <c r="AA360" i="2"/>
  <c r="R360" i="2"/>
  <c r="O360" i="2"/>
  <c r="N360" i="2"/>
  <c r="AM359" i="2"/>
  <c r="AB359" i="2"/>
  <c r="AA359" i="2"/>
  <c r="R359" i="2"/>
  <c r="O359" i="2"/>
  <c r="N359" i="2"/>
  <c r="AM358" i="2"/>
  <c r="AB358" i="2"/>
  <c r="AA358" i="2"/>
  <c r="R358" i="2"/>
  <c r="O358" i="2"/>
  <c r="N358" i="2"/>
  <c r="AM357" i="2"/>
  <c r="AB357" i="2"/>
  <c r="AA357" i="2"/>
  <c r="R357" i="2"/>
  <c r="O357" i="2"/>
  <c r="N357" i="2"/>
  <c r="AM356" i="2"/>
  <c r="AB356" i="2"/>
  <c r="AA356" i="2"/>
  <c r="R356" i="2"/>
  <c r="O356" i="2"/>
  <c r="N356" i="2"/>
  <c r="AM355" i="2"/>
  <c r="AB355" i="2"/>
  <c r="AA355" i="2"/>
  <c r="R355" i="2"/>
  <c r="O355" i="2"/>
  <c r="N355" i="2"/>
  <c r="AM354" i="2"/>
  <c r="AB354" i="2"/>
  <c r="AA354" i="2"/>
  <c r="R354" i="2"/>
  <c r="O354" i="2"/>
  <c r="N354" i="2"/>
  <c r="AM353" i="2"/>
  <c r="AB353" i="2"/>
  <c r="AA353" i="2"/>
  <c r="R353" i="2"/>
  <c r="O353" i="2"/>
  <c r="N353" i="2"/>
  <c r="AM352" i="2"/>
  <c r="AB352" i="2"/>
  <c r="AA352" i="2"/>
  <c r="R352" i="2"/>
  <c r="O352" i="2"/>
  <c r="N352" i="2"/>
  <c r="AM351" i="2"/>
  <c r="AB351" i="2"/>
  <c r="AA351" i="2"/>
  <c r="R351" i="2"/>
  <c r="O351" i="2"/>
  <c r="N351" i="2"/>
  <c r="AM350" i="2"/>
  <c r="AB350" i="2"/>
  <c r="AA350" i="2"/>
  <c r="R350" i="2"/>
  <c r="O350" i="2"/>
  <c r="N350" i="2"/>
  <c r="AM349" i="2"/>
  <c r="AB349" i="2"/>
  <c r="AA349" i="2"/>
  <c r="R349" i="2"/>
  <c r="O349" i="2"/>
  <c r="N349" i="2"/>
  <c r="AM348" i="2"/>
  <c r="AB348" i="2"/>
  <c r="AA348" i="2"/>
  <c r="R348" i="2"/>
  <c r="O348" i="2"/>
  <c r="N348" i="2"/>
  <c r="AM347" i="2"/>
  <c r="AB347" i="2"/>
  <c r="AA347" i="2"/>
  <c r="R347" i="2"/>
  <c r="O347" i="2"/>
  <c r="N347" i="2"/>
  <c r="AM346" i="2"/>
  <c r="AB346" i="2"/>
  <c r="AA346" i="2"/>
  <c r="R346" i="2"/>
  <c r="O346" i="2"/>
  <c r="N346" i="2"/>
  <c r="AM345" i="2"/>
  <c r="AB345" i="2"/>
  <c r="AA345" i="2"/>
  <c r="R345" i="2"/>
  <c r="O345" i="2"/>
  <c r="N345" i="2"/>
  <c r="AM344" i="2"/>
  <c r="AB344" i="2"/>
  <c r="AA344" i="2"/>
  <c r="R344" i="2"/>
  <c r="O344" i="2"/>
  <c r="N344" i="2"/>
  <c r="AM343" i="2"/>
  <c r="AB343" i="2"/>
  <c r="AA343" i="2"/>
  <c r="R343" i="2"/>
  <c r="O343" i="2"/>
  <c r="N343" i="2"/>
  <c r="AM342" i="2"/>
  <c r="AB342" i="2"/>
  <c r="AA342" i="2"/>
  <c r="R342" i="2"/>
  <c r="O342" i="2"/>
  <c r="N342" i="2"/>
  <c r="AM341" i="2"/>
  <c r="AB341" i="2"/>
  <c r="AA341" i="2"/>
  <c r="R341" i="2"/>
  <c r="O341" i="2"/>
  <c r="N341" i="2"/>
  <c r="AM340" i="2"/>
  <c r="AB340" i="2"/>
  <c r="AA340" i="2"/>
  <c r="R340" i="2"/>
  <c r="O340" i="2"/>
  <c r="N340" i="2"/>
  <c r="AM339" i="2"/>
  <c r="AB339" i="2"/>
  <c r="AA339" i="2"/>
  <c r="R339" i="2"/>
  <c r="O339" i="2"/>
  <c r="N339" i="2"/>
  <c r="AM338" i="2"/>
  <c r="AB338" i="2"/>
  <c r="AA338" i="2"/>
  <c r="R338" i="2"/>
  <c r="O338" i="2"/>
  <c r="N338" i="2"/>
  <c r="AM337" i="2"/>
  <c r="AB337" i="2"/>
  <c r="AA337" i="2"/>
  <c r="R337" i="2"/>
  <c r="O337" i="2"/>
  <c r="N337" i="2"/>
  <c r="AB336" i="2"/>
  <c r="AA336" i="2"/>
  <c r="R336" i="2"/>
  <c r="O336" i="2"/>
  <c r="N336" i="2"/>
  <c r="AM335" i="2"/>
  <c r="AB335" i="2"/>
  <c r="AA335" i="2"/>
  <c r="R335" i="2"/>
  <c r="O335" i="2"/>
  <c r="N335" i="2"/>
  <c r="AM334" i="2"/>
  <c r="AB334" i="2"/>
  <c r="AA334" i="2"/>
  <c r="R334" i="2"/>
  <c r="O334" i="2"/>
  <c r="N334" i="2"/>
  <c r="AM333" i="2"/>
  <c r="AB333" i="2"/>
  <c r="AA333" i="2"/>
  <c r="R333" i="2"/>
  <c r="O333" i="2"/>
  <c r="N333" i="2"/>
  <c r="AM332" i="2"/>
  <c r="AB332" i="2"/>
  <c r="AA332" i="2"/>
  <c r="R332" i="2"/>
  <c r="O332" i="2"/>
  <c r="N332" i="2"/>
  <c r="AM331" i="2"/>
  <c r="AB331" i="2"/>
  <c r="AA331" i="2"/>
  <c r="R331" i="2"/>
  <c r="O331" i="2"/>
  <c r="N331" i="2"/>
  <c r="AM330" i="2"/>
  <c r="AB330" i="2"/>
  <c r="AA330" i="2"/>
  <c r="R330" i="2"/>
  <c r="O330" i="2"/>
  <c r="N330" i="2"/>
  <c r="AB329" i="2"/>
  <c r="AA329" i="2"/>
  <c r="R329" i="2"/>
  <c r="O329" i="2"/>
  <c r="N329" i="2"/>
  <c r="AM328" i="2"/>
  <c r="AB328" i="2"/>
  <c r="AA328" i="2"/>
  <c r="R328" i="2"/>
  <c r="O328" i="2"/>
  <c r="N328" i="2"/>
  <c r="AM327" i="2"/>
  <c r="AB327" i="2"/>
  <c r="AA327" i="2"/>
  <c r="R327" i="2"/>
  <c r="O327" i="2"/>
  <c r="N327" i="2"/>
  <c r="AM326" i="2"/>
  <c r="AB326" i="2"/>
  <c r="AA326" i="2"/>
  <c r="R326" i="2"/>
  <c r="O326" i="2"/>
  <c r="N326" i="2"/>
  <c r="AB325" i="2"/>
  <c r="AA325" i="2"/>
  <c r="R325" i="2"/>
  <c r="O325" i="2"/>
  <c r="N325" i="2"/>
  <c r="AB324" i="2"/>
  <c r="AA324" i="2"/>
  <c r="R324" i="2"/>
  <c r="O324" i="2"/>
  <c r="N324" i="2"/>
  <c r="AB323" i="2"/>
  <c r="AA323" i="2"/>
  <c r="R323" i="2"/>
  <c r="O323" i="2"/>
  <c r="N323" i="2"/>
  <c r="AM322" i="2"/>
  <c r="AB322" i="2"/>
  <c r="AA322" i="2"/>
  <c r="R322" i="2"/>
  <c r="O322" i="2"/>
  <c r="N322" i="2"/>
  <c r="AB321" i="2"/>
  <c r="AA321" i="2"/>
  <c r="R321" i="2"/>
  <c r="O321" i="2"/>
  <c r="N321" i="2"/>
  <c r="AM320" i="2"/>
  <c r="AB320" i="2"/>
  <c r="AA320" i="2"/>
  <c r="R320" i="2"/>
  <c r="O320" i="2"/>
  <c r="N320" i="2"/>
  <c r="AM319" i="2"/>
  <c r="AB319" i="2"/>
  <c r="AA319" i="2"/>
  <c r="R319" i="2"/>
  <c r="O319" i="2"/>
  <c r="N319" i="2"/>
  <c r="AM318" i="2"/>
  <c r="AB318" i="2"/>
  <c r="AA318" i="2"/>
  <c r="R318" i="2"/>
  <c r="O318" i="2"/>
  <c r="N318" i="2"/>
  <c r="AB317" i="2"/>
  <c r="AA317" i="2"/>
  <c r="R317" i="2"/>
  <c r="O317" i="2"/>
  <c r="N317" i="2"/>
  <c r="AB316" i="2"/>
  <c r="AA316" i="2"/>
  <c r="R316" i="2"/>
  <c r="O316" i="2"/>
  <c r="N316" i="2"/>
  <c r="AB315" i="2"/>
  <c r="AA315" i="2"/>
  <c r="R315" i="2"/>
  <c r="O315" i="2"/>
  <c r="N315" i="2"/>
  <c r="AM314" i="2"/>
  <c r="AB314" i="2"/>
  <c r="AA314" i="2"/>
  <c r="R314" i="2"/>
  <c r="O314" i="2"/>
  <c r="N314" i="2"/>
  <c r="AM313" i="2"/>
  <c r="AB313" i="2"/>
  <c r="AA313" i="2"/>
  <c r="R313" i="2"/>
  <c r="O313" i="2"/>
  <c r="N313" i="2"/>
  <c r="AB312" i="2"/>
  <c r="AA312" i="2"/>
  <c r="R312" i="2"/>
  <c r="O312" i="2"/>
  <c r="N312" i="2"/>
  <c r="AB311" i="2"/>
  <c r="AA311" i="2"/>
  <c r="R311" i="2"/>
  <c r="O311" i="2"/>
  <c r="N311" i="2"/>
  <c r="AB310" i="2"/>
  <c r="AA310" i="2"/>
  <c r="R310" i="2"/>
  <c r="O310" i="2"/>
  <c r="N310" i="2"/>
  <c r="AM309" i="2"/>
  <c r="AB309" i="2"/>
  <c r="AA309" i="2"/>
  <c r="R309" i="2"/>
  <c r="O309" i="2"/>
  <c r="N309" i="2"/>
  <c r="AM308" i="2"/>
  <c r="AB308" i="2"/>
  <c r="AA308" i="2"/>
  <c r="R308" i="2"/>
  <c r="O308" i="2"/>
  <c r="N308" i="2"/>
  <c r="AM307" i="2"/>
  <c r="AB307" i="2"/>
  <c r="AA307" i="2"/>
  <c r="R307" i="2"/>
  <c r="O307" i="2"/>
  <c r="N307" i="2"/>
  <c r="AB306" i="2"/>
  <c r="AA306" i="2"/>
  <c r="R306" i="2"/>
  <c r="O306" i="2"/>
  <c r="N306" i="2"/>
  <c r="AM305" i="2"/>
  <c r="AB305" i="2"/>
  <c r="AA305" i="2"/>
  <c r="R305" i="2"/>
  <c r="O305" i="2"/>
  <c r="N305" i="2"/>
  <c r="AM304" i="2"/>
  <c r="AB304" i="2"/>
  <c r="AA304" i="2"/>
  <c r="R304" i="2"/>
  <c r="O304" i="2"/>
  <c r="N304" i="2"/>
  <c r="AM303" i="2"/>
  <c r="AB303" i="2"/>
  <c r="AA303" i="2"/>
  <c r="R303" i="2"/>
  <c r="O303" i="2"/>
  <c r="N303" i="2"/>
  <c r="AB302" i="2"/>
  <c r="AA302" i="2"/>
  <c r="R302" i="2"/>
  <c r="O302" i="2"/>
  <c r="N302" i="2"/>
  <c r="AB301" i="2"/>
  <c r="AA301" i="2"/>
  <c r="R301" i="2"/>
  <c r="O301" i="2"/>
  <c r="N301" i="2"/>
  <c r="AM300" i="2"/>
  <c r="AB300" i="2"/>
  <c r="AA300" i="2"/>
  <c r="R300" i="2"/>
  <c r="O300" i="2"/>
  <c r="N300" i="2"/>
  <c r="AM299" i="2"/>
  <c r="AB299" i="2"/>
  <c r="AA299" i="2"/>
  <c r="R299" i="2"/>
  <c r="O299" i="2"/>
  <c r="N299" i="2"/>
  <c r="AM298" i="2"/>
  <c r="AB298" i="2"/>
  <c r="AA298" i="2"/>
  <c r="R298" i="2"/>
  <c r="O298" i="2"/>
  <c r="N298" i="2"/>
  <c r="AM297" i="2"/>
  <c r="AB297" i="2"/>
  <c r="AA297" i="2"/>
  <c r="R297" i="2"/>
  <c r="O297" i="2"/>
  <c r="N297" i="2"/>
  <c r="AB296" i="2"/>
  <c r="AA296" i="2"/>
  <c r="R296" i="2"/>
  <c r="O296" i="2"/>
  <c r="N296" i="2"/>
  <c r="AB295" i="2"/>
  <c r="AA295" i="2"/>
  <c r="R295" i="2"/>
  <c r="O295" i="2"/>
  <c r="N295" i="2"/>
  <c r="AB294" i="2"/>
  <c r="AA294" i="2"/>
  <c r="R294" i="2"/>
  <c r="O294" i="2"/>
  <c r="N294" i="2"/>
  <c r="AB293" i="2"/>
  <c r="AA293" i="2"/>
  <c r="R293" i="2"/>
  <c r="O293" i="2"/>
  <c r="N293" i="2"/>
  <c r="AM292" i="2"/>
  <c r="AB292" i="2"/>
  <c r="AA292" i="2"/>
  <c r="R292" i="2"/>
  <c r="O292" i="2"/>
  <c r="N292" i="2"/>
  <c r="AM291" i="2"/>
  <c r="AB291" i="2"/>
  <c r="AA291" i="2"/>
  <c r="R291" i="2"/>
  <c r="O291" i="2"/>
  <c r="N291" i="2"/>
  <c r="AM290" i="2"/>
  <c r="AB290" i="2"/>
  <c r="AA290" i="2"/>
  <c r="R290" i="2"/>
  <c r="O290" i="2"/>
  <c r="N290" i="2"/>
  <c r="AM289" i="2"/>
  <c r="AB289" i="2"/>
  <c r="AA289" i="2"/>
  <c r="R289" i="2"/>
  <c r="O289" i="2"/>
  <c r="N289" i="2"/>
  <c r="AB288" i="2"/>
  <c r="AA288" i="2"/>
  <c r="R288" i="2"/>
  <c r="O288" i="2"/>
  <c r="N288" i="2"/>
  <c r="AB287" i="2"/>
  <c r="AA287" i="2"/>
  <c r="R287" i="2"/>
  <c r="O287" i="2"/>
  <c r="N287" i="2"/>
  <c r="AM286" i="2"/>
  <c r="AB286" i="2"/>
  <c r="AA286" i="2"/>
  <c r="R286" i="2"/>
  <c r="O286" i="2"/>
  <c r="N286" i="2"/>
  <c r="AM285" i="2"/>
  <c r="AB285" i="2"/>
  <c r="AA285" i="2"/>
  <c r="R285" i="2"/>
  <c r="O285" i="2"/>
  <c r="N285" i="2"/>
  <c r="AM284" i="2"/>
  <c r="AB284" i="2"/>
  <c r="AA284" i="2"/>
  <c r="R284" i="2"/>
  <c r="O284" i="2"/>
  <c r="N284" i="2"/>
  <c r="AM283" i="2"/>
  <c r="AB283" i="2"/>
  <c r="AA283" i="2"/>
  <c r="R283" i="2"/>
  <c r="O283" i="2"/>
  <c r="N283" i="2"/>
  <c r="AB282" i="2"/>
  <c r="AA282" i="2"/>
  <c r="R282" i="2"/>
  <c r="O282" i="2"/>
  <c r="N282" i="2"/>
  <c r="AB281" i="2"/>
  <c r="AA281" i="2"/>
  <c r="R281" i="2"/>
  <c r="O281" i="2"/>
  <c r="N281" i="2"/>
  <c r="AM280" i="2"/>
  <c r="AB280" i="2"/>
  <c r="AA280" i="2"/>
  <c r="R280" i="2"/>
  <c r="O280" i="2"/>
  <c r="N280" i="2"/>
  <c r="AM279" i="2"/>
  <c r="AB279" i="2"/>
  <c r="AA279" i="2"/>
  <c r="R279" i="2"/>
  <c r="O279" i="2"/>
  <c r="N279" i="2"/>
  <c r="AB278" i="2"/>
  <c r="AA278" i="2"/>
  <c r="R278" i="2"/>
  <c r="O278" i="2"/>
  <c r="N278" i="2"/>
  <c r="AB277" i="2"/>
  <c r="AA277" i="2"/>
  <c r="R277" i="2"/>
  <c r="O277" i="2"/>
  <c r="N277" i="2"/>
  <c r="AM276" i="2"/>
  <c r="AB276" i="2"/>
  <c r="AA276" i="2"/>
  <c r="R276" i="2"/>
  <c r="O276" i="2"/>
  <c r="N276" i="2"/>
  <c r="AB275" i="2"/>
  <c r="AA275" i="2"/>
  <c r="R275" i="2"/>
  <c r="O275" i="2"/>
  <c r="N275" i="2"/>
  <c r="AB274" i="2"/>
  <c r="AA274" i="2"/>
  <c r="R274" i="2"/>
  <c r="O274" i="2"/>
  <c r="N274" i="2"/>
  <c r="AB273" i="2"/>
  <c r="AA273" i="2"/>
  <c r="R273" i="2"/>
  <c r="O273" i="2"/>
  <c r="N273" i="2"/>
  <c r="AM272" i="2"/>
  <c r="AB272" i="2"/>
  <c r="AA272" i="2"/>
  <c r="R272" i="2"/>
  <c r="O272" i="2"/>
  <c r="N272" i="2"/>
  <c r="AB271" i="2"/>
  <c r="AA271" i="2"/>
  <c r="R271" i="2"/>
  <c r="O271" i="2"/>
  <c r="N271" i="2"/>
  <c r="AB270" i="2"/>
  <c r="AA270" i="2"/>
  <c r="R270" i="2"/>
  <c r="O270" i="2"/>
  <c r="N270" i="2"/>
  <c r="AB269" i="2"/>
  <c r="AA269" i="2"/>
  <c r="R269" i="2"/>
  <c r="O269" i="2"/>
  <c r="N269" i="2"/>
  <c r="AB268" i="2"/>
  <c r="AA268" i="2"/>
  <c r="R268" i="2"/>
  <c r="O268" i="2"/>
  <c r="N268" i="2"/>
  <c r="AB267" i="2"/>
  <c r="AA267" i="2"/>
  <c r="R267" i="2"/>
  <c r="O267" i="2"/>
  <c r="N267" i="2"/>
  <c r="AM266" i="2"/>
  <c r="AB266" i="2"/>
  <c r="AA266" i="2"/>
  <c r="R266" i="2"/>
  <c r="O266" i="2"/>
  <c r="N266" i="2"/>
  <c r="AM265" i="2"/>
  <c r="AB265" i="2"/>
  <c r="AA265" i="2"/>
  <c r="R265" i="2"/>
  <c r="O265" i="2"/>
  <c r="N265" i="2"/>
  <c r="AM264" i="2"/>
  <c r="AB264" i="2"/>
  <c r="AA264" i="2"/>
  <c r="R264" i="2"/>
  <c r="O264" i="2"/>
  <c r="N264" i="2"/>
  <c r="AB263" i="2"/>
  <c r="AA263" i="2"/>
  <c r="R263" i="2"/>
  <c r="O263" i="2"/>
  <c r="N263" i="2"/>
  <c r="AM262" i="2"/>
  <c r="AB262" i="2"/>
  <c r="AA262" i="2"/>
  <c r="R262" i="2"/>
  <c r="O262" i="2"/>
  <c r="N262" i="2"/>
  <c r="AB261" i="2"/>
  <c r="AA261" i="2"/>
  <c r="R261" i="2"/>
  <c r="O261" i="2"/>
  <c r="N261" i="2"/>
  <c r="AM260" i="2"/>
  <c r="AB260" i="2"/>
  <c r="AA260" i="2"/>
  <c r="R260" i="2"/>
  <c r="O260" i="2"/>
  <c r="N260" i="2"/>
  <c r="AB259" i="2"/>
  <c r="AA259" i="2"/>
  <c r="R259" i="2"/>
  <c r="O259" i="2"/>
  <c r="N259" i="2"/>
  <c r="AB258" i="2"/>
  <c r="AA258" i="2"/>
  <c r="R258" i="2"/>
  <c r="O258" i="2"/>
  <c r="N258" i="2"/>
  <c r="AM257" i="2"/>
  <c r="AB257" i="2"/>
  <c r="AA257" i="2"/>
  <c r="R257" i="2"/>
  <c r="O257" i="2"/>
  <c r="N257" i="2"/>
  <c r="AM256" i="2"/>
  <c r="AB256" i="2"/>
  <c r="AA256" i="2"/>
  <c r="R256" i="2"/>
  <c r="O256" i="2"/>
  <c r="N256" i="2"/>
  <c r="AB255" i="2"/>
  <c r="AA255" i="2"/>
  <c r="R255" i="2"/>
  <c r="O255" i="2"/>
  <c r="N255" i="2"/>
  <c r="AB254" i="2"/>
  <c r="AA254" i="2"/>
  <c r="R254" i="2"/>
  <c r="O254" i="2"/>
  <c r="N254" i="2"/>
  <c r="AM253" i="2"/>
  <c r="AB253" i="2"/>
  <c r="AA253" i="2"/>
  <c r="R253" i="2"/>
  <c r="O253" i="2"/>
  <c r="N253" i="2"/>
  <c r="AM252" i="2"/>
  <c r="AB252" i="2"/>
  <c r="AA252" i="2"/>
  <c r="R252" i="2"/>
  <c r="O252" i="2"/>
  <c r="N252" i="2"/>
  <c r="AB251" i="2"/>
  <c r="AA251" i="2"/>
  <c r="R251" i="2"/>
  <c r="O251" i="2"/>
  <c r="N251" i="2"/>
  <c r="AM250" i="2"/>
  <c r="AB250" i="2"/>
  <c r="AA250" i="2"/>
  <c r="R250" i="2"/>
  <c r="O250" i="2"/>
  <c r="N250" i="2"/>
  <c r="AB249" i="2"/>
  <c r="AA249" i="2"/>
  <c r="R249" i="2"/>
  <c r="O249" i="2"/>
  <c r="N249" i="2"/>
  <c r="AM248" i="2"/>
  <c r="AB248" i="2"/>
  <c r="AA248" i="2"/>
  <c r="R248" i="2"/>
  <c r="O248" i="2"/>
  <c r="N248" i="2"/>
  <c r="AB247" i="2"/>
  <c r="AA247" i="2"/>
  <c r="R247" i="2"/>
  <c r="O247" i="2"/>
  <c r="N247" i="2"/>
  <c r="AM246" i="2"/>
  <c r="AB246" i="2"/>
  <c r="AA246" i="2"/>
  <c r="R246" i="2"/>
  <c r="O246" i="2"/>
  <c r="N246" i="2"/>
  <c r="AB245" i="2"/>
  <c r="AA245" i="2"/>
  <c r="R245" i="2"/>
  <c r="O245" i="2"/>
  <c r="N245" i="2"/>
  <c r="AB244" i="2"/>
  <c r="AA244" i="2"/>
  <c r="R244" i="2"/>
  <c r="O244" i="2"/>
  <c r="N244" i="2"/>
  <c r="AB243" i="2"/>
  <c r="AA243" i="2"/>
  <c r="R243" i="2"/>
  <c r="O243" i="2"/>
  <c r="N243" i="2"/>
  <c r="AM242" i="2"/>
  <c r="AB242" i="2"/>
  <c r="AA242" i="2"/>
  <c r="R242" i="2"/>
  <c r="O242" i="2"/>
  <c r="N242" i="2"/>
  <c r="AB241" i="2"/>
  <c r="AA241" i="2"/>
  <c r="R241" i="2"/>
  <c r="O241" i="2"/>
  <c r="N241" i="2"/>
  <c r="AM240" i="2"/>
  <c r="AB240" i="2"/>
  <c r="AA240" i="2"/>
  <c r="R240" i="2"/>
  <c r="O240" i="2"/>
  <c r="N240" i="2"/>
  <c r="AM239" i="2"/>
  <c r="AB239" i="2"/>
  <c r="AA239" i="2"/>
  <c r="R239" i="2"/>
  <c r="O239" i="2"/>
  <c r="N239" i="2"/>
  <c r="AB238" i="2"/>
  <c r="AA238" i="2"/>
  <c r="R238" i="2"/>
  <c r="O238" i="2"/>
  <c r="N238" i="2"/>
  <c r="AB237" i="2"/>
  <c r="AA237" i="2"/>
  <c r="R237" i="2"/>
  <c r="O237" i="2"/>
  <c r="N237" i="2"/>
  <c r="AM236" i="2"/>
  <c r="AB236" i="2"/>
  <c r="AA236" i="2"/>
  <c r="R236" i="2"/>
  <c r="O236" i="2"/>
  <c r="N236" i="2"/>
  <c r="AB235" i="2"/>
  <c r="AA235" i="2"/>
  <c r="R235" i="2"/>
  <c r="O235" i="2"/>
  <c r="N235" i="2"/>
  <c r="AM234" i="2"/>
  <c r="AB234" i="2"/>
  <c r="AA234" i="2"/>
  <c r="R234" i="2"/>
  <c r="O234" i="2"/>
  <c r="N234" i="2"/>
  <c r="AB233" i="2"/>
  <c r="AA233" i="2"/>
  <c r="R233" i="2"/>
  <c r="O233" i="2"/>
  <c r="N233" i="2"/>
  <c r="AM232" i="2"/>
  <c r="AB232" i="2"/>
  <c r="AA232" i="2"/>
  <c r="R232" i="2"/>
  <c r="O232" i="2"/>
  <c r="N232" i="2"/>
  <c r="AB231" i="2"/>
  <c r="AA231" i="2"/>
  <c r="R231" i="2"/>
  <c r="O231" i="2"/>
  <c r="N231" i="2"/>
  <c r="AB230" i="2"/>
  <c r="AA230" i="2"/>
  <c r="R230" i="2"/>
  <c r="O230" i="2"/>
  <c r="N230" i="2"/>
  <c r="AM229" i="2"/>
  <c r="AB229" i="2"/>
  <c r="AA229" i="2"/>
  <c r="R229" i="2"/>
  <c r="O229" i="2"/>
  <c r="N229" i="2"/>
  <c r="AM228" i="2"/>
  <c r="AB228" i="2"/>
  <c r="AA228" i="2"/>
  <c r="R228" i="2"/>
  <c r="O228" i="2"/>
  <c r="N228" i="2"/>
  <c r="AB227" i="2"/>
  <c r="AA227" i="2"/>
  <c r="R227" i="2"/>
  <c r="O227" i="2"/>
  <c r="N227" i="2"/>
  <c r="AM226" i="2"/>
  <c r="AB226" i="2"/>
  <c r="AA226" i="2"/>
  <c r="R226" i="2"/>
  <c r="O226" i="2"/>
  <c r="N226" i="2"/>
  <c r="AB225" i="2"/>
  <c r="AA225" i="2"/>
  <c r="R225" i="2"/>
  <c r="O225" i="2"/>
  <c r="N225" i="2"/>
  <c r="AB224" i="2"/>
  <c r="AA224" i="2"/>
  <c r="R224" i="2"/>
  <c r="O224" i="2"/>
  <c r="N224" i="2"/>
  <c r="AM223" i="2"/>
  <c r="AB223" i="2"/>
  <c r="AA223" i="2"/>
  <c r="R223" i="2"/>
  <c r="O223" i="2"/>
  <c r="N223" i="2"/>
  <c r="AB222" i="2"/>
  <c r="AA222" i="2"/>
  <c r="R222" i="2"/>
  <c r="O222" i="2"/>
  <c r="N222" i="2"/>
  <c r="AM221" i="2"/>
  <c r="AB221" i="2"/>
  <c r="AA221" i="2"/>
  <c r="R221" i="2"/>
  <c r="O221" i="2"/>
  <c r="N221" i="2"/>
  <c r="AM220" i="2"/>
  <c r="AB220" i="2"/>
  <c r="AA220" i="2"/>
  <c r="R220" i="2"/>
  <c r="O220" i="2"/>
  <c r="N220" i="2"/>
  <c r="AB219" i="2"/>
  <c r="AA219" i="2"/>
  <c r="R219" i="2"/>
  <c r="O219" i="2"/>
  <c r="N219" i="2"/>
  <c r="AB218" i="2"/>
  <c r="AA218" i="2"/>
  <c r="R218" i="2"/>
  <c r="O218" i="2"/>
  <c r="N218" i="2"/>
  <c r="AB217" i="2"/>
  <c r="AA217" i="2"/>
  <c r="R217" i="2"/>
  <c r="O217" i="2"/>
  <c r="N217" i="2"/>
  <c r="AB216" i="2"/>
  <c r="AA216" i="2"/>
  <c r="R216" i="2"/>
  <c r="O216" i="2"/>
  <c r="N216" i="2"/>
  <c r="AM215" i="2"/>
  <c r="AB215" i="2"/>
  <c r="AA215" i="2"/>
  <c r="R215" i="2"/>
  <c r="O215" i="2"/>
  <c r="N215" i="2"/>
  <c r="AM214" i="2"/>
  <c r="AB214" i="2"/>
  <c r="AA214" i="2"/>
  <c r="R214" i="2"/>
  <c r="O214" i="2"/>
  <c r="N214" i="2"/>
  <c r="AB213" i="2"/>
  <c r="AA213" i="2"/>
  <c r="R213" i="2"/>
  <c r="O213" i="2"/>
  <c r="N213" i="2"/>
  <c r="AM212" i="2"/>
  <c r="AB212" i="2"/>
  <c r="AA212" i="2"/>
  <c r="R212" i="2"/>
  <c r="O212" i="2"/>
  <c r="N212" i="2"/>
  <c r="AB211" i="2"/>
  <c r="AA211" i="2"/>
  <c r="R211" i="2"/>
  <c r="O211" i="2"/>
  <c r="N211" i="2"/>
  <c r="AM210" i="2"/>
  <c r="AB210" i="2"/>
  <c r="AA210" i="2"/>
  <c r="R210" i="2"/>
  <c r="O210" i="2"/>
  <c r="N210" i="2"/>
  <c r="AM209" i="2"/>
  <c r="AB209" i="2"/>
  <c r="AA209" i="2"/>
  <c r="R209" i="2"/>
  <c r="O209" i="2"/>
  <c r="N209" i="2"/>
  <c r="AB208" i="2"/>
  <c r="AA208" i="2"/>
  <c r="R208" i="2"/>
  <c r="O208" i="2"/>
  <c r="N208" i="2"/>
  <c r="AM207" i="2"/>
  <c r="AB207" i="2"/>
  <c r="AA207" i="2"/>
  <c r="R207" i="2"/>
  <c r="O207" i="2"/>
  <c r="N207" i="2"/>
  <c r="AB206" i="2"/>
  <c r="AA206" i="2"/>
  <c r="R206" i="2"/>
  <c r="O206" i="2"/>
  <c r="N206" i="2"/>
  <c r="AM205" i="2"/>
  <c r="AB205" i="2"/>
  <c r="AA205" i="2"/>
  <c r="R205" i="2"/>
  <c r="O205" i="2"/>
  <c r="N205" i="2"/>
  <c r="AB204" i="2"/>
  <c r="AA204" i="2"/>
  <c r="R204" i="2"/>
  <c r="O204" i="2"/>
  <c r="N204" i="2"/>
  <c r="AB203" i="2"/>
  <c r="AA203" i="2"/>
  <c r="R203" i="2"/>
  <c r="O203" i="2"/>
  <c r="N203" i="2"/>
  <c r="AM202" i="2"/>
  <c r="AB202" i="2"/>
  <c r="AA202" i="2"/>
  <c r="R202" i="2"/>
  <c r="O202" i="2"/>
  <c r="N202" i="2"/>
  <c r="AB201" i="2"/>
  <c r="AA201" i="2"/>
  <c r="R201" i="2"/>
  <c r="O201" i="2"/>
  <c r="N201" i="2"/>
  <c r="AB200" i="2"/>
  <c r="AA200" i="2"/>
  <c r="R200" i="2"/>
  <c r="O200" i="2"/>
  <c r="N200" i="2"/>
  <c r="AM199" i="2"/>
  <c r="AB199" i="2"/>
  <c r="AA199" i="2"/>
  <c r="R199" i="2"/>
  <c r="O199" i="2"/>
  <c r="N199" i="2"/>
  <c r="AM198" i="2"/>
  <c r="AB198" i="2"/>
  <c r="AA198" i="2"/>
  <c r="R198" i="2"/>
  <c r="O198" i="2"/>
  <c r="N198" i="2"/>
  <c r="AB197" i="2"/>
  <c r="AA197" i="2"/>
  <c r="R197" i="2"/>
  <c r="O197" i="2"/>
  <c r="N197" i="2"/>
  <c r="AB196" i="2"/>
  <c r="AA196" i="2"/>
  <c r="R196" i="2"/>
  <c r="O196" i="2"/>
  <c r="N196" i="2"/>
  <c r="AB195" i="2"/>
  <c r="AA195" i="2"/>
  <c r="R195" i="2"/>
  <c r="O195" i="2"/>
  <c r="N195" i="2"/>
  <c r="AM194" i="2"/>
  <c r="AB194" i="2"/>
  <c r="AA194" i="2"/>
  <c r="R194" i="2"/>
  <c r="O194" i="2"/>
  <c r="N194" i="2"/>
  <c r="AB193" i="2"/>
  <c r="AA193" i="2"/>
  <c r="R193" i="2"/>
  <c r="O193" i="2"/>
  <c r="N193" i="2"/>
  <c r="AB192" i="2"/>
  <c r="AA192" i="2"/>
  <c r="R192" i="2"/>
  <c r="O192" i="2"/>
  <c r="N192" i="2"/>
  <c r="AB191" i="2"/>
  <c r="AA191" i="2"/>
  <c r="R191" i="2"/>
  <c r="O191" i="2"/>
  <c r="N191" i="2"/>
  <c r="AB190" i="2"/>
  <c r="AA190" i="2"/>
  <c r="R190" i="2"/>
  <c r="O190" i="2"/>
  <c r="N190" i="2"/>
  <c r="AM189" i="2"/>
  <c r="AB189" i="2"/>
  <c r="AA189" i="2"/>
  <c r="R189" i="2"/>
  <c r="O189" i="2"/>
  <c r="N189" i="2"/>
  <c r="AB188" i="2"/>
  <c r="AA188" i="2"/>
  <c r="R188" i="2"/>
  <c r="O188" i="2"/>
  <c r="N188" i="2"/>
  <c r="AM187" i="2"/>
  <c r="AB187" i="2"/>
  <c r="AA187" i="2"/>
  <c r="R187" i="2"/>
  <c r="O187" i="2"/>
  <c r="N187" i="2"/>
  <c r="AB186" i="2"/>
  <c r="AA186" i="2"/>
  <c r="R186" i="2"/>
  <c r="O186" i="2"/>
  <c r="N186" i="2"/>
  <c r="AM185" i="2"/>
  <c r="AB185" i="2"/>
  <c r="AA185" i="2"/>
  <c r="R185" i="2"/>
  <c r="O185" i="2"/>
  <c r="N185" i="2"/>
  <c r="AM184" i="2"/>
  <c r="AB184" i="2"/>
  <c r="AA184" i="2"/>
  <c r="R184" i="2"/>
  <c r="O184" i="2"/>
  <c r="N184" i="2"/>
  <c r="AM183" i="2"/>
  <c r="AB183" i="2"/>
  <c r="AA183" i="2"/>
  <c r="R183" i="2"/>
  <c r="O183" i="2"/>
  <c r="N183" i="2"/>
  <c r="AB182" i="2"/>
  <c r="AA182" i="2"/>
  <c r="R182" i="2"/>
  <c r="O182" i="2"/>
  <c r="N182" i="2"/>
  <c r="AM181" i="2"/>
  <c r="AB181" i="2"/>
  <c r="AA181" i="2"/>
  <c r="R181" i="2"/>
  <c r="O181" i="2"/>
  <c r="N181" i="2"/>
  <c r="AM180" i="2"/>
  <c r="AB180" i="2"/>
  <c r="AA180" i="2"/>
  <c r="R180" i="2"/>
  <c r="O180" i="2"/>
  <c r="N180" i="2"/>
  <c r="AM179" i="2"/>
  <c r="AB179" i="2"/>
  <c r="AA179" i="2"/>
  <c r="R179" i="2"/>
  <c r="O179" i="2"/>
  <c r="N179" i="2"/>
  <c r="AM178" i="2"/>
  <c r="AB178" i="2"/>
  <c r="AA178" i="2"/>
  <c r="R178" i="2"/>
  <c r="O178" i="2"/>
  <c r="N178" i="2"/>
  <c r="AB177" i="2"/>
  <c r="AA177" i="2"/>
  <c r="R177" i="2"/>
  <c r="O177" i="2"/>
  <c r="N177" i="2"/>
  <c r="AM176" i="2"/>
  <c r="AB176" i="2"/>
  <c r="AA176" i="2"/>
  <c r="R176" i="2"/>
  <c r="O176" i="2"/>
  <c r="N176" i="2"/>
  <c r="AB175" i="2"/>
  <c r="AA175" i="2"/>
  <c r="R175" i="2"/>
  <c r="O175" i="2"/>
  <c r="N175" i="2"/>
  <c r="AM174" i="2"/>
  <c r="AB174" i="2"/>
  <c r="AA174" i="2"/>
  <c r="R174" i="2"/>
  <c r="O174" i="2"/>
  <c r="N174" i="2"/>
  <c r="AB173" i="2"/>
  <c r="AA173" i="2"/>
  <c r="R173" i="2"/>
  <c r="O173" i="2"/>
  <c r="N173" i="2"/>
  <c r="AM172" i="2"/>
  <c r="AB172" i="2"/>
  <c r="AA172" i="2"/>
  <c r="R172" i="2"/>
  <c r="O172" i="2"/>
  <c r="N172" i="2"/>
  <c r="AM171" i="2"/>
  <c r="AB171" i="2"/>
  <c r="AA171" i="2"/>
  <c r="R171" i="2"/>
  <c r="O171" i="2"/>
  <c r="N171" i="2"/>
  <c r="AM170" i="2"/>
  <c r="AB170" i="2"/>
  <c r="AA170" i="2"/>
  <c r="R170" i="2"/>
  <c r="O170" i="2"/>
  <c r="N170" i="2"/>
  <c r="AM169" i="2"/>
  <c r="AB169" i="2"/>
  <c r="AA169" i="2"/>
  <c r="R169" i="2"/>
  <c r="O169" i="2"/>
  <c r="N169" i="2"/>
  <c r="AB168" i="2"/>
  <c r="AA168" i="2"/>
  <c r="R168" i="2"/>
  <c r="O168" i="2"/>
  <c r="N168" i="2"/>
  <c r="AB167" i="2"/>
  <c r="AA167" i="2"/>
  <c r="R167" i="2"/>
  <c r="O167" i="2"/>
  <c r="N167" i="2"/>
  <c r="AM166" i="2"/>
  <c r="AB166" i="2"/>
  <c r="AA166" i="2"/>
  <c r="R166" i="2"/>
  <c r="O166" i="2"/>
  <c r="N166" i="2"/>
  <c r="AB165" i="2"/>
  <c r="AA165" i="2"/>
  <c r="R165" i="2"/>
  <c r="O165" i="2"/>
  <c r="N165" i="2"/>
  <c r="AM164" i="2"/>
  <c r="AB164" i="2"/>
  <c r="AA164" i="2"/>
  <c r="R164" i="2"/>
  <c r="O164" i="2"/>
  <c r="N164" i="2"/>
  <c r="AB163" i="2"/>
  <c r="AA163" i="2"/>
  <c r="R163" i="2"/>
  <c r="O163" i="2"/>
  <c r="N163" i="2"/>
  <c r="AB162" i="2"/>
  <c r="AA162" i="2"/>
  <c r="R162" i="2"/>
  <c r="O162" i="2"/>
  <c r="N162" i="2"/>
  <c r="AM161" i="2"/>
  <c r="AB161" i="2"/>
  <c r="AA161" i="2"/>
  <c r="R161" i="2"/>
  <c r="O161" i="2"/>
  <c r="N161" i="2"/>
  <c r="AB160" i="2"/>
  <c r="AA160" i="2"/>
  <c r="R160" i="2"/>
  <c r="O160" i="2"/>
  <c r="N160" i="2"/>
  <c r="AB159" i="2"/>
  <c r="AA159" i="2"/>
  <c r="R159" i="2"/>
  <c r="O159" i="2"/>
  <c r="N159" i="2"/>
  <c r="AM158" i="2"/>
  <c r="AB158" i="2"/>
  <c r="AA158" i="2"/>
  <c r="R158" i="2"/>
  <c r="O158" i="2"/>
  <c r="N158" i="2"/>
  <c r="AB157" i="2"/>
  <c r="AA157" i="2"/>
  <c r="R157" i="2"/>
  <c r="O157" i="2"/>
  <c r="N157" i="2"/>
  <c r="AB156" i="2"/>
  <c r="AA156" i="2"/>
  <c r="R156" i="2"/>
  <c r="O156" i="2"/>
  <c r="N156" i="2"/>
  <c r="AB155" i="2"/>
  <c r="AA155" i="2"/>
  <c r="R155" i="2"/>
  <c r="O155" i="2"/>
  <c r="N155" i="2"/>
  <c r="AM154" i="2"/>
  <c r="AB154" i="2"/>
  <c r="AA154" i="2"/>
  <c r="R154" i="2"/>
  <c r="O154" i="2"/>
  <c r="N154" i="2"/>
  <c r="AB153" i="2"/>
  <c r="AA153" i="2"/>
  <c r="R153" i="2"/>
  <c r="O153" i="2"/>
  <c r="N153" i="2"/>
  <c r="AB152" i="2"/>
  <c r="AA152" i="2"/>
  <c r="R152" i="2"/>
  <c r="O152" i="2"/>
  <c r="N152" i="2"/>
  <c r="AB151" i="2"/>
  <c r="AA151" i="2"/>
  <c r="R151" i="2"/>
  <c r="O151" i="2"/>
  <c r="N151" i="2"/>
  <c r="AB150" i="2"/>
  <c r="AA150" i="2"/>
  <c r="R150" i="2"/>
  <c r="O150" i="2"/>
  <c r="N150" i="2"/>
  <c r="AM149" i="2"/>
  <c r="AB149" i="2"/>
  <c r="AA149" i="2"/>
  <c r="R149" i="2"/>
  <c r="O149" i="2"/>
  <c r="N149" i="2"/>
  <c r="AB148" i="2"/>
  <c r="AA148" i="2"/>
  <c r="R148" i="2"/>
  <c r="O148" i="2"/>
  <c r="N148" i="2"/>
  <c r="AM147" i="2"/>
  <c r="AB147" i="2"/>
  <c r="AA147" i="2"/>
  <c r="R147" i="2"/>
  <c r="O147" i="2"/>
  <c r="N147" i="2"/>
  <c r="AB146" i="2"/>
  <c r="AA146" i="2"/>
  <c r="R146" i="2"/>
  <c r="O146" i="2"/>
  <c r="N146" i="2"/>
  <c r="AB145" i="2"/>
  <c r="AA145" i="2"/>
  <c r="R145" i="2"/>
  <c r="O145" i="2"/>
  <c r="N145" i="2"/>
  <c r="AB144" i="2"/>
  <c r="AA144" i="2"/>
  <c r="R144" i="2"/>
  <c r="O144" i="2"/>
  <c r="N144" i="2"/>
  <c r="AM143" i="2"/>
  <c r="AB143" i="2"/>
  <c r="AA143" i="2"/>
  <c r="R143" i="2"/>
  <c r="O143" i="2"/>
  <c r="N143" i="2"/>
  <c r="AB142" i="2"/>
  <c r="AA142" i="2"/>
  <c r="R142" i="2"/>
  <c r="O142" i="2"/>
  <c r="N142" i="2"/>
  <c r="AB141" i="2"/>
  <c r="AA141" i="2"/>
  <c r="R141" i="2"/>
  <c r="O141" i="2"/>
  <c r="N141" i="2"/>
  <c r="AB140" i="2"/>
  <c r="AA140" i="2"/>
  <c r="R140" i="2"/>
  <c r="O140" i="2"/>
  <c r="N140" i="2"/>
  <c r="AB139" i="2"/>
  <c r="AA139" i="2"/>
  <c r="R139" i="2"/>
  <c r="O139" i="2"/>
  <c r="N139" i="2"/>
  <c r="AB138" i="2"/>
  <c r="AA138" i="2"/>
  <c r="R138" i="2"/>
  <c r="O138" i="2"/>
  <c r="N138" i="2"/>
  <c r="AM137" i="2"/>
  <c r="AB137" i="2"/>
  <c r="AA137" i="2"/>
  <c r="R137" i="2"/>
  <c r="O137" i="2"/>
  <c r="N137" i="2"/>
  <c r="AM136" i="2"/>
  <c r="AB136" i="2"/>
  <c r="AA136" i="2"/>
  <c r="R136" i="2"/>
  <c r="O136" i="2"/>
  <c r="N136" i="2"/>
  <c r="AM135" i="2"/>
  <c r="AB135" i="2"/>
  <c r="AA135" i="2"/>
  <c r="R135" i="2"/>
  <c r="O135" i="2"/>
  <c r="N135" i="2"/>
  <c r="AM134" i="2"/>
  <c r="AB134" i="2"/>
  <c r="AA134" i="2"/>
  <c r="R134" i="2"/>
  <c r="O134" i="2"/>
  <c r="N134" i="2"/>
  <c r="AB133" i="2"/>
  <c r="AA133" i="2"/>
  <c r="R133" i="2"/>
  <c r="O133" i="2"/>
  <c r="N133" i="2"/>
  <c r="AM132" i="2"/>
  <c r="AB132" i="2"/>
  <c r="AA132" i="2"/>
  <c r="R132" i="2"/>
  <c r="O132" i="2"/>
  <c r="N132" i="2"/>
  <c r="AM131" i="2"/>
  <c r="AB131" i="2"/>
  <c r="AA131" i="2"/>
  <c r="R131" i="2"/>
  <c r="O131" i="2"/>
  <c r="N131" i="2"/>
  <c r="AM130" i="2"/>
  <c r="AB130" i="2"/>
  <c r="AA130" i="2"/>
  <c r="R130" i="2"/>
  <c r="O130" i="2"/>
  <c r="N130" i="2"/>
  <c r="AM129" i="2"/>
  <c r="AB129" i="2"/>
  <c r="AA129" i="2"/>
  <c r="R129" i="2"/>
  <c r="O129" i="2"/>
  <c r="N129" i="2"/>
  <c r="AB128" i="2"/>
  <c r="AA128" i="2"/>
  <c r="R128" i="2"/>
  <c r="O128" i="2"/>
  <c r="N128" i="2"/>
  <c r="AM127" i="2"/>
  <c r="AB127" i="2"/>
  <c r="AA127" i="2"/>
  <c r="R127" i="2"/>
  <c r="O127" i="2"/>
  <c r="N127" i="2"/>
  <c r="AM126" i="2"/>
  <c r="AB126" i="2"/>
  <c r="AA126" i="2"/>
  <c r="R126" i="2"/>
  <c r="O126" i="2"/>
  <c r="N126" i="2"/>
  <c r="AM125" i="2"/>
  <c r="AB125" i="2"/>
  <c r="AA125" i="2"/>
  <c r="R125" i="2"/>
  <c r="O125" i="2"/>
  <c r="N125" i="2"/>
  <c r="AB124" i="2"/>
  <c r="AA124" i="2"/>
  <c r="R124" i="2"/>
  <c r="O124" i="2"/>
  <c r="N124" i="2"/>
  <c r="AM123" i="2"/>
  <c r="AB123" i="2"/>
  <c r="AA123" i="2"/>
  <c r="R123" i="2"/>
  <c r="O123" i="2"/>
  <c r="N123" i="2"/>
  <c r="AM122" i="2"/>
  <c r="AB122" i="2"/>
  <c r="AA122" i="2"/>
  <c r="R122" i="2"/>
  <c r="O122" i="2"/>
  <c r="N122" i="2"/>
  <c r="AM121" i="2"/>
  <c r="AB121" i="2"/>
  <c r="AA121" i="2"/>
  <c r="R121" i="2"/>
  <c r="O121" i="2"/>
  <c r="N121" i="2"/>
  <c r="AM120" i="2"/>
  <c r="AB120" i="2"/>
  <c r="AA120" i="2"/>
  <c r="R120" i="2"/>
  <c r="O120" i="2"/>
  <c r="N120" i="2"/>
  <c r="AM119" i="2"/>
  <c r="AB119" i="2"/>
  <c r="AA119" i="2"/>
  <c r="R119" i="2"/>
  <c r="O119" i="2"/>
  <c r="N119" i="2"/>
  <c r="AM118" i="2"/>
  <c r="AB118" i="2"/>
  <c r="AA118" i="2"/>
  <c r="R118" i="2"/>
  <c r="O118" i="2"/>
  <c r="N118" i="2"/>
  <c r="AM117" i="2"/>
  <c r="AB117" i="2"/>
  <c r="AA117" i="2"/>
  <c r="R117" i="2"/>
  <c r="O117" i="2"/>
  <c r="N117" i="2"/>
  <c r="AM116" i="2"/>
  <c r="AB116" i="2"/>
  <c r="AA116" i="2"/>
  <c r="R116" i="2"/>
  <c r="O116" i="2"/>
  <c r="N116" i="2"/>
  <c r="AM115" i="2"/>
  <c r="AB115" i="2"/>
  <c r="AA115" i="2"/>
  <c r="R115" i="2"/>
  <c r="O115" i="2"/>
  <c r="N115" i="2"/>
  <c r="AM114" i="2"/>
  <c r="AB114" i="2"/>
  <c r="AA114" i="2"/>
  <c r="R114" i="2"/>
  <c r="O114" i="2"/>
  <c r="N114" i="2"/>
  <c r="AM113" i="2"/>
  <c r="AB113" i="2"/>
  <c r="AA113" i="2"/>
  <c r="R113" i="2"/>
  <c r="O113" i="2"/>
  <c r="N113" i="2"/>
  <c r="AM112" i="2"/>
  <c r="AB112" i="2"/>
  <c r="AA112" i="2"/>
  <c r="R112" i="2"/>
  <c r="O112" i="2"/>
  <c r="N112" i="2"/>
  <c r="AM111" i="2"/>
  <c r="AB111" i="2"/>
  <c r="AA111" i="2"/>
  <c r="R111" i="2"/>
  <c r="O111" i="2"/>
  <c r="N111" i="2"/>
  <c r="AM110" i="2"/>
  <c r="AB110" i="2"/>
  <c r="AA110" i="2"/>
  <c r="R110" i="2"/>
  <c r="O110" i="2"/>
  <c r="N110" i="2"/>
  <c r="AM109" i="2"/>
  <c r="AB109" i="2"/>
  <c r="AA109" i="2"/>
  <c r="R109" i="2"/>
  <c r="O109" i="2"/>
  <c r="N109" i="2"/>
  <c r="AM108" i="2"/>
  <c r="AB108" i="2"/>
  <c r="AA108" i="2"/>
  <c r="R108" i="2"/>
  <c r="O108" i="2"/>
  <c r="N108" i="2"/>
  <c r="AM107" i="2"/>
  <c r="AB107" i="2"/>
  <c r="AA107" i="2"/>
  <c r="R107" i="2"/>
  <c r="O107" i="2"/>
  <c r="N107" i="2"/>
  <c r="AM106" i="2"/>
  <c r="AB106" i="2"/>
  <c r="AA106" i="2"/>
  <c r="R106" i="2"/>
  <c r="O106" i="2"/>
  <c r="N106" i="2"/>
  <c r="AM105" i="2"/>
  <c r="AB105" i="2"/>
  <c r="AA105" i="2"/>
  <c r="R105" i="2"/>
  <c r="O105" i="2"/>
  <c r="N105" i="2"/>
  <c r="AM104" i="2"/>
  <c r="AB104" i="2"/>
  <c r="AA104" i="2"/>
  <c r="R104" i="2"/>
  <c r="O104" i="2"/>
  <c r="N104" i="2"/>
  <c r="AM103" i="2"/>
  <c r="AB103" i="2"/>
  <c r="AA103" i="2"/>
  <c r="R103" i="2"/>
  <c r="O103" i="2"/>
  <c r="N103" i="2"/>
  <c r="AM102" i="2"/>
  <c r="AB102" i="2"/>
  <c r="AA102" i="2"/>
  <c r="R102" i="2"/>
  <c r="O102" i="2"/>
  <c r="N102" i="2"/>
  <c r="AM101" i="2"/>
  <c r="AB101" i="2"/>
  <c r="AA101" i="2"/>
  <c r="R101" i="2"/>
  <c r="O101" i="2"/>
  <c r="N101" i="2"/>
  <c r="AM100" i="2"/>
  <c r="AB100" i="2"/>
  <c r="AA100" i="2"/>
  <c r="R100" i="2"/>
  <c r="O100" i="2"/>
  <c r="N100" i="2"/>
  <c r="AM99" i="2"/>
  <c r="AB99" i="2"/>
  <c r="AA99" i="2"/>
  <c r="R99" i="2"/>
  <c r="O99" i="2"/>
  <c r="N99" i="2"/>
  <c r="AM98" i="2"/>
  <c r="AB98" i="2"/>
  <c r="AA98" i="2"/>
  <c r="R98" i="2"/>
  <c r="O98" i="2"/>
  <c r="N98" i="2"/>
  <c r="AM97" i="2"/>
  <c r="AB97" i="2"/>
  <c r="AA97" i="2"/>
  <c r="R97" i="2"/>
  <c r="O97" i="2"/>
  <c r="N97" i="2"/>
  <c r="AM96" i="2"/>
  <c r="AB96" i="2"/>
  <c r="AA96" i="2"/>
  <c r="R96" i="2"/>
  <c r="O96" i="2"/>
  <c r="N96" i="2"/>
  <c r="AM95" i="2"/>
  <c r="AB95" i="2"/>
  <c r="AA95" i="2"/>
  <c r="R95" i="2"/>
  <c r="O95" i="2"/>
  <c r="N95" i="2"/>
  <c r="AM94" i="2"/>
  <c r="AB94" i="2"/>
  <c r="AA94" i="2"/>
  <c r="R94" i="2"/>
  <c r="O94" i="2"/>
  <c r="N94" i="2"/>
  <c r="AM93" i="2"/>
  <c r="AB93" i="2"/>
  <c r="AA93" i="2"/>
  <c r="R93" i="2"/>
  <c r="O93" i="2"/>
  <c r="N93" i="2"/>
  <c r="AM92" i="2"/>
  <c r="AB92" i="2"/>
  <c r="AA92" i="2"/>
  <c r="R92" i="2"/>
  <c r="O92" i="2"/>
  <c r="N92" i="2"/>
  <c r="AM91" i="2"/>
  <c r="AB91" i="2"/>
  <c r="AA91" i="2"/>
  <c r="R91" i="2"/>
  <c r="O91" i="2"/>
  <c r="N91" i="2"/>
  <c r="AM90" i="2"/>
  <c r="AB90" i="2"/>
  <c r="AA90" i="2"/>
  <c r="R90" i="2"/>
  <c r="O90" i="2"/>
  <c r="N90" i="2"/>
  <c r="AM89" i="2"/>
  <c r="AB89" i="2"/>
  <c r="AA89" i="2"/>
  <c r="R89" i="2"/>
  <c r="O89" i="2"/>
  <c r="N89" i="2"/>
  <c r="AM88" i="2"/>
  <c r="AB88" i="2"/>
  <c r="AA88" i="2"/>
  <c r="R88" i="2"/>
  <c r="O88" i="2"/>
  <c r="N88" i="2"/>
  <c r="AM87" i="2"/>
  <c r="AB87" i="2"/>
  <c r="AA87" i="2"/>
  <c r="R87" i="2"/>
  <c r="O87" i="2"/>
  <c r="N87" i="2"/>
  <c r="AM86" i="2"/>
  <c r="AB86" i="2"/>
  <c r="AA86" i="2"/>
  <c r="R86" i="2"/>
  <c r="O86" i="2"/>
  <c r="N86" i="2"/>
  <c r="AM85" i="2"/>
  <c r="AB85" i="2"/>
  <c r="AA85" i="2"/>
  <c r="R85" i="2"/>
  <c r="O85" i="2"/>
  <c r="N85" i="2"/>
  <c r="AM84" i="2"/>
  <c r="AB84" i="2"/>
  <c r="AA84" i="2"/>
  <c r="R84" i="2"/>
  <c r="O84" i="2"/>
  <c r="N84" i="2"/>
  <c r="AM83" i="2"/>
  <c r="AB83" i="2"/>
  <c r="AA83" i="2"/>
  <c r="R83" i="2"/>
  <c r="O83" i="2"/>
  <c r="N83" i="2"/>
  <c r="AM82" i="2"/>
  <c r="AB82" i="2"/>
  <c r="AA82" i="2"/>
  <c r="R82" i="2"/>
  <c r="O82" i="2"/>
  <c r="N82" i="2"/>
  <c r="AM81" i="2"/>
  <c r="AB81" i="2"/>
  <c r="AA81" i="2"/>
  <c r="R81" i="2"/>
  <c r="O81" i="2"/>
  <c r="N81" i="2"/>
  <c r="AM80" i="2"/>
  <c r="AB80" i="2"/>
  <c r="AA80" i="2"/>
  <c r="R80" i="2"/>
  <c r="O80" i="2"/>
  <c r="N80" i="2"/>
  <c r="AM79" i="2"/>
  <c r="AB79" i="2"/>
  <c r="AA79" i="2"/>
  <c r="R79" i="2"/>
  <c r="O79" i="2"/>
  <c r="N79" i="2"/>
  <c r="AM78" i="2"/>
  <c r="AB78" i="2"/>
  <c r="AA78" i="2"/>
  <c r="R78" i="2"/>
  <c r="O78" i="2"/>
  <c r="N78" i="2"/>
  <c r="AM77" i="2"/>
  <c r="AB77" i="2"/>
  <c r="AA77" i="2"/>
  <c r="R77" i="2"/>
  <c r="O77" i="2"/>
  <c r="N77" i="2"/>
  <c r="AM76" i="2"/>
  <c r="AB76" i="2"/>
  <c r="AA76" i="2"/>
  <c r="R76" i="2"/>
  <c r="O76" i="2"/>
  <c r="N76" i="2"/>
  <c r="AM75" i="2"/>
  <c r="AB75" i="2"/>
  <c r="AA75" i="2"/>
  <c r="R75" i="2"/>
  <c r="O75" i="2"/>
  <c r="N75" i="2"/>
  <c r="AM74" i="2"/>
  <c r="AB74" i="2"/>
  <c r="AA74" i="2"/>
  <c r="R74" i="2"/>
  <c r="O74" i="2"/>
  <c r="N74" i="2"/>
  <c r="AM73" i="2"/>
  <c r="AB73" i="2"/>
  <c r="AA73" i="2"/>
  <c r="R73" i="2"/>
  <c r="O73" i="2"/>
  <c r="N73" i="2"/>
  <c r="AM72" i="2"/>
  <c r="AB72" i="2"/>
  <c r="AA72" i="2"/>
  <c r="R72" i="2"/>
  <c r="O72" i="2"/>
  <c r="N72" i="2"/>
  <c r="AM71" i="2"/>
  <c r="AB71" i="2"/>
  <c r="AA71" i="2"/>
  <c r="R71" i="2"/>
  <c r="O71" i="2"/>
  <c r="N71" i="2"/>
  <c r="AM70" i="2"/>
  <c r="AB70" i="2"/>
  <c r="AA70" i="2"/>
  <c r="R70" i="2"/>
  <c r="O70" i="2"/>
  <c r="N70" i="2"/>
  <c r="AM69" i="2"/>
  <c r="AB69" i="2"/>
  <c r="AA69" i="2"/>
  <c r="R69" i="2"/>
  <c r="O69" i="2"/>
  <c r="N69" i="2"/>
  <c r="AM68" i="2"/>
  <c r="AB68" i="2"/>
  <c r="AA68" i="2"/>
  <c r="R68" i="2"/>
  <c r="O68" i="2"/>
  <c r="N68" i="2"/>
  <c r="AM67" i="2"/>
  <c r="AB67" i="2"/>
  <c r="AA67" i="2"/>
  <c r="R67" i="2"/>
  <c r="O67" i="2"/>
  <c r="N67" i="2"/>
  <c r="AM66" i="2"/>
  <c r="AB66" i="2"/>
  <c r="AA66" i="2"/>
  <c r="R66" i="2"/>
  <c r="O66" i="2"/>
  <c r="N66" i="2"/>
  <c r="AM65" i="2"/>
  <c r="AB65" i="2"/>
  <c r="AA65" i="2"/>
  <c r="R65" i="2"/>
  <c r="O65" i="2"/>
  <c r="N65" i="2"/>
  <c r="AM64" i="2"/>
  <c r="AB64" i="2"/>
  <c r="AA64" i="2"/>
  <c r="R64" i="2"/>
  <c r="O64" i="2"/>
  <c r="N64" i="2"/>
  <c r="AM63" i="2"/>
  <c r="AB63" i="2"/>
  <c r="AA63" i="2"/>
  <c r="R63" i="2"/>
  <c r="O63" i="2"/>
  <c r="N63" i="2"/>
  <c r="AM62" i="2"/>
  <c r="AB62" i="2"/>
  <c r="AA62" i="2"/>
  <c r="R62" i="2"/>
  <c r="O62" i="2"/>
  <c r="N62" i="2"/>
  <c r="AM61" i="2"/>
  <c r="AB61" i="2"/>
  <c r="AA61" i="2"/>
  <c r="R61" i="2"/>
  <c r="O61" i="2"/>
  <c r="N61" i="2"/>
  <c r="AM60" i="2"/>
  <c r="AB60" i="2"/>
  <c r="AA60" i="2"/>
  <c r="R60" i="2"/>
  <c r="O60" i="2"/>
  <c r="N60" i="2"/>
  <c r="AM59" i="2"/>
  <c r="AB59" i="2"/>
  <c r="AA59" i="2"/>
  <c r="R59" i="2"/>
  <c r="O59" i="2"/>
  <c r="N59" i="2"/>
  <c r="AM58" i="2"/>
  <c r="AB58" i="2"/>
  <c r="AA58" i="2"/>
  <c r="R58" i="2"/>
  <c r="O58" i="2"/>
  <c r="N58" i="2"/>
  <c r="AM57" i="2"/>
  <c r="AB57" i="2"/>
  <c r="AA57" i="2"/>
  <c r="R57" i="2"/>
  <c r="O57" i="2"/>
  <c r="N57" i="2"/>
  <c r="AM56" i="2"/>
  <c r="AB56" i="2"/>
  <c r="AA56" i="2"/>
  <c r="R56" i="2"/>
  <c r="O56" i="2"/>
  <c r="N56" i="2"/>
  <c r="AM55" i="2"/>
  <c r="AB55" i="2"/>
  <c r="AA55" i="2"/>
  <c r="R55" i="2"/>
  <c r="O55" i="2"/>
  <c r="N55" i="2"/>
  <c r="AM54" i="2"/>
  <c r="AB54" i="2"/>
  <c r="AA54" i="2"/>
  <c r="R54" i="2"/>
  <c r="O54" i="2"/>
  <c r="N54" i="2"/>
  <c r="AB53" i="2"/>
  <c r="AA53" i="2"/>
  <c r="R53" i="2"/>
  <c r="O53" i="2"/>
  <c r="N53" i="2"/>
  <c r="AM52" i="2"/>
  <c r="AB52" i="2"/>
  <c r="AA52" i="2"/>
  <c r="R52" i="2"/>
  <c r="O52" i="2"/>
  <c r="N52" i="2"/>
  <c r="AB51" i="2"/>
  <c r="AA51" i="2"/>
  <c r="R51" i="2"/>
  <c r="O51" i="2"/>
  <c r="N51" i="2"/>
  <c r="AM50" i="2"/>
  <c r="AB50" i="2"/>
  <c r="AA50" i="2"/>
  <c r="R50" i="2"/>
  <c r="O50" i="2"/>
  <c r="N50" i="2"/>
  <c r="AM49" i="2"/>
  <c r="AB49" i="2"/>
  <c r="AA49" i="2"/>
  <c r="R49" i="2"/>
  <c r="O49" i="2"/>
  <c r="N49" i="2"/>
  <c r="AM48" i="2"/>
  <c r="AB48" i="2"/>
  <c r="AA48" i="2"/>
  <c r="R48" i="2"/>
  <c r="O48" i="2"/>
  <c r="N48" i="2"/>
  <c r="AM47" i="2"/>
  <c r="AB47" i="2"/>
  <c r="AA47" i="2"/>
  <c r="R47" i="2"/>
  <c r="O47" i="2"/>
  <c r="N47" i="2"/>
  <c r="AM46" i="2"/>
  <c r="AB46" i="2"/>
  <c r="AA46" i="2"/>
  <c r="R46" i="2"/>
  <c r="O46" i="2"/>
  <c r="N46" i="2"/>
  <c r="AM45" i="2"/>
  <c r="AB45" i="2"/>
  <c r="AA45" i="2"/>
  <c r="R45" i="2"/>
  <c r="O45" i="2"/>
  <c r="N45" i="2"/>
  <c r="AM44" i="2"/>
  <c r="AB44" i="2"/>
  <c r="AA44" i="2"/>
  <c r="R44" i="2"/>
  <c r="O44" i="2"/>
  <c r="N44" i="2"/>
  <c r="AB43" i="2"/>
  <c r="AA43" i="2"/>
  <c r="R43" i="2"/>
  <c r="O43" i="2"/>
  <c r="N43" i="2"/>
  <c r="AM42" i="2"/>
  <c r="AB42" i="2"/>
  <c r="AA42" i="2"/>
  <c r="R42" i="2"/>
  <c r="O42" i="2"/>
  <c r="N42" i="2"/>
  <c r="AB41" i="2"/>
  <c r="AA41" i="2"/>
  <c r="R41" i="2"/>
  <c r="O41" i="2"/>
  <c r="N41" i="2"/>
  <c r="AM40" i="2"/>
  <c r="AB40" i="2"/>
  <c r="AA40" i="2"/>
  <c r="R40" i="2"/>
  <c r="O40" i="2"/>
  <c r="N40" i="2"/>
  <c r="AM39" i="2"/>
  <c r="AB39" i="2"/>
  <c r="AA39" i="2"/>
  <c r="R39" i="2"/>
  <c r="O39" i="2"/>
  <c r="N39" i="2"/>
  <c r="AM38" i="2"/>
  <c r="AB38" i="2"/>
  <c r="AA38" i="2"/>
  <c r="R38" i="2"/>
  <c r="O38" i="2"/>
  <c r="N38" i="2"/>
  <c r="AM37" i="2"/>
  <c r="AB37" i="2"/>
  <c r="AA37" i="2"/>
  <c r="R37" i="2"/>
  <c r="O37" i="2"/>
  <c r="N37" i="2"/>
  <c r="AM36" i="2"/>
  <c r="AB36" i="2"/>
  <c r="AA36" i="2"/>
  <c r="R36" i="2"/>
  <c r="O36" i="2"/>
  <c r="N36" i="2"/>
  <c r="AM35" i="2"/>
  <c r="AB35" i="2"/>
  <c r="AA35" i="2"/>
  <c r="R35" i="2"/>
  <c r="O35" i="2"/>
  <c r="N35" i="2"/>
  <c r="AM34" i="2"/>
  <c r="AB34" i="2"/>
  <c r="AA34" i="2"/>
  <c r="R34" i="2"/>
  <c r="O34" i="2"/>
  <c r="N34" i="2"/>
  <c r="AB33" i="2"/>
  <c r="AA33" i="2"/>
  <c r="R33" i="2"/>
  <c r="O33" i="2"/>
  <c r="N33" i="2"/>
  <c r="AM32" i="2"/>
  <c r="AB32" i="2"/>
  <c r="AA32" i="2"/>
  <c r="R32" i="2"/>
  <c r="O32" i="2"/>
  <c r="N32" i="2"/>
  <c r="AB31" i="2"/>
  <c r="AA31" i="2"/>
  <c r="R31" i="2"/>
  <c r="O31" i="2"/>
  <c r="N31" i="2"/>
  <c r="AM30" i="2"/>
  <c r="AB30" i="2"/>
  <c r="AA30" i="2"/>
  <c r="R30" i="2"/>
  <c r="O30" i="2"/>
  <c r="N30" i="2"/>
  <c r="AM29" i="2"/>
  <c r="AB29" i="2"/>
  <c r="AA29" i="2"/>
  <c r="R29" i="2"/>
  <c r="O29" i="2"/>
  <c r="N29" i="2"/>
  <c r="AM28" i="2"/>
  <c r="AB28" i="2"/>
  <c r="AA28" i="2"/>
  <c r="R28" i="2"/>
  <c r="O28" i="2"/>
  <c r="N28" i="2"/>
  <c r="AM27" i="2"/>
  <c r="AB27" i="2"/>
  <c r="AA27" i="2"/>
  <c r="R27" i="2"/>
  <c r="O27" i="2"/>
  <c r="N27" i="2"/>
  <c r="AM26" i="2"/>
  <c r="AB26" i="2"/>
  <c r="AA26" i="2"/>
  <c r="R26" i="2"/>
  <c r="O26" i="2"/>
  <c r="N26" i="2"/>
  <c r="AM25" i="2"/>
  <c r="AB25" i="2"/>
  <c r="AA25" i="2"/>
  <c r="R25" i="2"/>
  <c r="O25" i="2"/>
  <c r="N25" i="2"/>
  <c r="AB24" i="2"/>
  <c r="AA24" i="2"/>
  <c r="R24" i="2"/>
  <c r="O24" i="2"/>
  <c r="N24" i="2"/>
  <c r="AB23" i="2"/>
  <c r="AA23" i="2"/>
  <c r="R23" i="2"/>
  <c r="O23" i="2"/>
  <c r="N23" i="2"/>
  <c r="AM22" i="2"/>
  <c r="AB22" i="2"/>
  <c r="AA22" i="2"/>
  <c r="R22" i="2"/>
  <c r="O22" i="2"/>
  <c r="N22" i="2"/>
  <c r="AM21" i="2"/>
  <c r="AB21" i="2"/>
  <c r="AA21" i="2"/>
  <c r="R21" i="2"/>
  <c r="O21" i="2"/>
  <c r="N21" i="2"/>
  <c r="AB20" i="2"/>
  <c r="AA20" i="2"/>
  <c r="R20" i="2"/>
  <c r="O20" i="2"/>
  <c r="N20" i="2"/>
  <c r="AM19" i="2"/>
  <c r="AB19" i="2"/>
  <c r="AA19" i="2"/>
  <c r="R19" i="2"/>
  <c r="O19" i="2"/>
  <c r="N19" i="2"/>
  <c r="AB18" i="2"/>
  <c r="AA18" i="2"/>
  <c r="R18" i="2"/>
  <c r="O18" i="2"/>
  <c r="N18" i="2"/>
  <c r="AM17" i="2"/>
  <c r="AB17" i="2"/>
  <c r="AA17" i="2"/>
  <c r="R17" i="2"/>
  <c r="O17" i="2"/>
  <c r="N17" i="2"/>
  <c r="AM16" i="2"/>
  <c r="AB16" i="2"/>
  <c r="AA16" i="2"/>
  <c r="R16" i="2"/>
  <c r="O16" i="2"/>
  <c r="N16" i="2"/>
  <c r="AB15" i="2"/>
  <c r="AA15" i="2"/>
  <c r="R15" i="2"/>
  <c r="O15" i="2"/>
  <c r="N15" i="2"/>
  <c r="AM14" i="2"/>
  <c r="AB14" i="2"/>
  <c r="AA14" i="2"/>
  <c r="R14" i="2"/>
  <c r="O14" i="2"/>
  <c r="N14" i="2"/>
  <c r="AB13" i="2"/>
  <c r="AA13" i="2"/>
  <c r="R13" i="2"/>
  <c r="O13" i="2"/>
  <c r="N13" i="2"/>
  <c r="AM12" i="2"/>
  <c r="AB12" i="2"/>
  <c r="AA12" i="2"/>
  <c r="R12" i="2"/>
  <c r="O12" i="2"/>
  <c r="N12" i="2"/>
  <c r="AM11" i="2"/>
  <c r="AB11" i="2"/>
  <c r="AA11" i="2"/>
  <c r="R11" i="2"/>
  <c r="O11" i="2"/>
  <c r="N11" i="2"/>
  <c r="AB10" i="2"/>
  <c r="AA10" i="2"/>
  <c r="R10" i="2"/>
  <c r="O10" i="2"/>
  <c r="N10" i="2"/>
  <c r="AM9" i="2"/>
  <c r="AB9" i="2"/>
  <c r="AA9" i="2"/>
  <c r="R9" i="2"/>
  <c r="O9" i="2"/>
  <c r="N9" i="2"/>
  <c r="AB8" i="2"/>
  <c r="AA8" i="2"/>
  <c r="R8" i="2"/>
  <c r="O8" i="2"/>
  <c r="N8" i="2"/>
  <c r="AM7" i="2"/>
  <c r="AB7" i="2"/>
  <c r="AA7" i="2"/>
  <c r="R7" i="2"/>
  <c r="O7" i="2"/>
  <c r="N7" i="2"/>
  <c r="AB6" i="2"/>
  <c r="AA6" i="2"/>
  <c r="R6" i="2"/>
  <c r="O6" i="2"/>
  <c r="N6" i="2"/>
  <c r="AM5" i="2"/>
  <c r="AB5" i="2"/>
  <c r="AA5" i="2"/>
  <c r="R5" i="2"/>
  <c r="O5" i="2"/>
  <c r="N5" i="2"/>
  <c r="AB4" i="2"/>
  <c r="AA4" i="2"/>
  <c r="R4" i="2"/>
  <c r="O4" i="2"/>
  <c r="N4" i="2"/>
  <c r="AO1" i="2"/>
  <c r="AN1" i="2"/>
  <c r="AM1" i="2"/>
  <c r="AL1" i="2"/>
  <c r="AK1" i="2"/>
  <c r="AJ1" i="2"/>
  <c r="AI1" i="2"/>
  <c r="AH1" i="2"/>
  <c r="AG1" i="2"/>
  <c r="AF1" i="2"/>
  <c r="AE1" i="2"/>
  <c r="AD1" i="2"/>
  <c r="X1" i="2"/>
  <c r="W1" i="2"/>
  <c r="V1" i="2"/>
  <c r="U1" i="2"/>
  <c r="R1" i="2"/>
  <c r="L24" i="1"/>
  <c r="I24" i="1"/>
  <c r="L23" i="1"/>
  <c r="I23" i="1"/>
  <c r="L22" i="1"/>
  <c r="I22" i="1"/>
  <c r="L21" i="1"/>
  <c r="I21" i="1"/>
  <c r="F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O11" i="1"/>
  <c r="N11" i="1"/>
  <c r="M11" i="1"/>
  <c r="L11" i="1"/>
  <c r="I11" i="1"/>
  <c r="H11" i="1"/>
  <c r="G11" i="1"/>
  <c r="F11" i="1"/>
  <c r="E11" i="1"/>
  <c r="L10" i="1"/>
  <c r="I10" i="1"/>
  <c r="L9" i="1"/>
  <c r="I9" i="1"/>
  <c r="L8" i="1"/>
  <c r="I8" i="1"/>
  <c r="L7" i="1"/>
  <c r="I7" i="1"/>
  <c r="O6" i="1"/>
  <c r="N6" i="1"/>
  <c r="L6" i="1"/>
  <c r="I6" i="1"/>
  <c r="G6" i="1"/>
  <c r="F6" i="1"/>
  <c r="L5" i="1"/>
  <c r="I5" i="1"/>
  <c r="F17" i="1" l="1"/>
  <c r="U155" i="2"/>
  <c r="V155" i="2" s="1"/>
  <c r="W155" i="2" s="1"/>
  <c r="X155" i="2" s="1"/>
  <c r="U1108" i="2"/>
  <c r="N20" i="1"/>
  <c r="N23" i="1"/>
  <c r="U1131" i="2"/>
  <c r="G18" i="1"/>
  <c r="U1138" i="2"/>
  <c r="N18" i="1"/>
  <c r="F22" i="1"/>
  <c r="F18" i="1"/>
  <c r="U1095" i="2"/>
  <c r="G19" i="1"/>
  <c r="N19" i="1"/>
  <c r="F16" i="1"/>
  <c r="G21" i="1"/>
  <c r="F19" i="1"/>
  <c r="U379" i="2"/>
  <c r="V379" i="2" s="1"/>
  <c r="W379" i="2" s="1"/>
  <c r="X379" i="2" s="1"/>
  <c r="U782" i="2"/>
  <c r="V782" i="2" s="1"/>
  <c r="W782" i="2" s="1"/>
  <c r="X782" i="2" s="1"/>
  <c r="AH1305" i="2"/>
  <c r="U1147" i="2"/>
  <c r="U223" i="2"/>
  <c r="V223" i="2" s="1"/>
  <c r="W223" i="2" s="1"/>
  <c r="X223" i="2" s="1"/>
  <c r="U761" i="2"/>
  <c r="V761" i="2" s="1"/>
  <c r="W761" i="2" s="1"/>
  <c r="X761" i="2" s="1"/>
  <c r="U759" i="2"/>
  <c r="AH60" i="2"/>
  <c r="AH565" i="2"/>
  <c r="U1090" i="2"/>
  <c r="V1090" i="2" s="1"/>
  <c r="W1090" i="2" s="1"/>
  <c r="X1090" i="2" s="1"/>
  <c r="O22" i="1"/>
  <c r="U31" i="2"/>
  <c r="V31" i="2" s="1"/>
  <c r="U630" i="2"/>
  <c r="V630" i="2" s="1"/>
  <c r="W630" i="2" s="1"/>
  <c r="X630" i="2" s="1"/>
  <c r="U94" i="2"/>
  <c r="W94" i="2" s="1"/>
  <c r="U452" i="2"/>
  <c r="V452" i="2" s="1"/>
  <c r="W452" i="2" s="1"/>
  <c r="X452" i="2" s="1"/>
  <c r="U35" i="2"/>
  <c r="V35" i="2" s="1"/>
  <c r="U747" i="2"/>
  <c r="V747" i="2" s="1"/>
  <c r="W747" i="2" s="1"/>
  <c r="X747" i="2" s="1"/>
  <c r="N10" i="1"/>
  <c r="AD1144" i="2"/>
  <c r="AE577" i="2"/>
  <c r="AH1076" i="2"/>
  <c r="U1216" i="2"/>
  <c r="V1216" i="2" s="1"/>
  <c r="W1216" i="2" s="1"/>
  <c r="X1216" i="2" s="1"/>
  <c r="U1229" i="2"/>
  <c r="V1229" i="2" s="1"/>
  <c r="W1229" i="2" s="1"/>
  <c r="X1229" i="2" s="1"/>
  <c r="AH174" i="2"/>
  <c r="AE750" i="2"/>
  <c r="U908" i="2"/>
  <c r="V908" i="2" s="1"/>
  <c r="W908" i="2" s="1"/>
  <c r="X908" i="2" s="1"/>
  <c r="H21" i="1"/>
  <c r="G23" i="1"/>
  <c r="F24" i="1"/>
  <c r="G17" i="1"/>
  <c r="U6" i="2"/>
  <c r="V6" i="2" s="1"/>
  <c r="W6" i="2" s="1"/>
  <c r="X6" i="2" s="1"/>
  <c r="G15" i="1"/>
  <c r="G16" i="1"/>
  <c r="N17" i="1"/>
  <c r="AE56" i="2"/>
  <c r="AH59" i="2"/>
  <c r="U857" i="2"/>
  <c r="V857" i="2" s="1"/>
  <c r="W857" i="2" s="1"/>
  <c r="X857" i="2" s="1"/>
  <c r="U144" i="2"/>
  <c r="V144" i="2" s="1"/>
  <c r="W144" i="2" s="1"/>
  <c r="X144" i="2" s="1"/>
  <c r="U876" i="2"/>
  <c r="V876" i="2" s="1"/>
  <c r="W876" i="2" s="1"/>
  <c r="X876" i="2" s="1"/>
  <c r="U153" i="2"/>
  <c r="V153" i="2" s="1"/>
  <c r="W153" i="2" s="1"/>
  <c r="X153" i="2" s="1"/>
  <c r="U584" i="2"/>
  <c r="V584" i="2" s="1"/>
  <c r="W584" i="2" s="1"/>
  <c r="X584" i="2" s="1"/>
  <c r="U600" i="2"/>
  <c r="V600" i="2" s="1"/>
  <c r="W600" i="2" s="1"/>
  <c r="X600" i="2" s="1"/>
  <c r="U903" i="2"/>
  <c r="V903" i="2" s="1"/>
  <c r="W903" i="2" s="1"/>
  <c r="X903" i="2" s="1"/>
  <c r="U924" i="2"/>
  <c r="V924" i="2" s="1"/>
  <c r="W924" i="2" s="1"/>
  <c r="X924" i="2" s="1"/>
  <c r="AG1008" i="2"/>
  <c r="U700" i="2"/>
  <c r="V700" i="2" s="1"/>
  <c r="W700" i="2" s="1"/>
  <c r="X700" i="2" s="1"/>
  <c r="U748" i="2"/>
  <c r="V748" i="2" s="1"/>
  <c r="W748" i="2" s="1"/>
  <c r="X748" i="2" s="1"/>
  <c r="U968" i="2"/>
  <c r="V968" i="2" s="1"/>
  <c r="W968" i="2" s="1"/>
  <c r="X968" i="2" s="1"/>
  <c r="AD651" i="2"/>
  <c r="U313" i="2"/>
  <c r="V313" i="2" s="1"/>
  <c r="W313" i="2" s="1"/>
  <c r="X313" i="2" s="1"/>
  <c r="U450" i="2"/>
  <c r="V450" i="2" s="1"/>
  <c r="W450" i="2" s="1"/>
  <c r="X450" i="2" s="1"/>
  <c r="AG466" i="2"/>
  <c r="U1052" i="2"/>
  <c r="V1052" i="2" s="1"/>
  <c r="W1052" i="2" s="1"/>
  <c r="X1052" i="2" s="1"/>
  <c r="U32" i="2"/>
  <c r="V32" i="2" s="1"/>
  <c r="W32" i="2" s="1"/>
  <c r="X32" i="2" s="1"/>
  <c r="N12" i="1"/>
  <c r="U400" i="2"/>
  <c r="V400" i="2" s="1"/>
  <c r="W400" i="2" s="1"/>
  <c r="X400" i="2" s="1"/>
  <c r="U546" i="2"/>
  <c r="V546" i="2" s="1"/>
  <c r="W546" i="2" s="1"/>
  <c r="X546" i="2" s="1"/>
  <c r="U492" i="2"/>
  <c r="V492" i="2" s="1"/>
  <c r="W492" i="2" s="1"/>
  <c r="X492" i="2" s="1"/>
  <c r="E18" i="1"/>
  <c r="AG991" i="2"/>
  <c r="U255" i="2"/>
  <c r="V255" i="2" s="1"/>
  <c r="W255" i="2" s="1"/>
  <c r="X255" i="2" s="1"/>
  <c r="N15" i="1"/>
  <c r="AG40" i="2"/>
  <c r="U490" i="2"/>
  <c r="V490" i="2" s="1"/>
  <c r="W490" i="2" s="1"/>
  <c r="X490" i="2" s="1"/>
  <c r="H15" i="1"/>
  <c r="U873" i="2"/>
  <c r="V873" i="2" s="1"/>
  <c r="W873" i="2" s="1"/>
  <c r="U733" i="2"/>
  <c r="V733" i="2" s="1"/>
  <c r="W733" i="2" s="1"/>
  <c r="X733" i="2" s="1"/>
  <c r="F20" i="1"/>
  <c r="U140" i="2"/>
  <c r="V140" i="2" s="1"/>
  <c r="W140" i="2" s="1"/>
  <c r="X140" i="2" s="1"/>
  <c r="U206" i="2"/>
  <c r="V206" i="2" s="1"/>
  <c r="W206" i="2" s="1"/>
  <c r="X206" i="2" s="1"/>
  <c r="U295" i="2"/>
  <c r="V295" i="2" s="1"/>
  <c r="W295" i="2" s="1"/>
  <c r="X295" i="2" s="1"/>
  <c r="U611" i="2"/>
  <c r="V611" i="2" s="1"/>
  <c r="W611" i="2" s="1"/>
  <c r="X611" i="2" s="1"/>
  <c r="U827" i="2"/>
  <c r="V827" i="2" s="1"/>
  <c r="W827" i="2" s="1"/>
  <c r="X827" i="2" s="1"/>
  <c r="U1233" i="2"/>
  <c r="V1233" i="2" s="1"/>
  <c r="W1233" i="2" s="1"/>
  <c r="X1233" i="2" s="1"/>
  <c r="U1249" i="2"/>
  <c r="V1249" i="2" s="1"/>
  <c r="W1249" i="2" s="1"/>
  <c r="X1249" i="2" s="1"/>
  <c r="U1272" i="2"/>
  <c r="G20" i="1"/>
  <c r="U383" i="2"/>
  <c r="V383" i="2" s="1"/>
  <c r="U577" i="2"/>
  <c r="V577" i="2" s="1"/>
  <c r="W577" i="2" s="1"/>
  <c r="X577" i="2" s="1"/>
  <c r="U949" i="2"/>
  <c r="V949" i="2" s="1"/>
  <c r="W949" i="2" s="1"/>
  <c r="X949" i="2" s="1"/>
  <c r="U1014" i="2"/>
  <c r="V1014" i="2" s="1"/>
  <c r="W1014" i="2" s="1"/>
  <c r="X1014" i="2" s="1"/>
  <c r="AH1279" i="2"/>
  <c r="U479" i="2"/>
  <c r="AF611" i="2"/>
  <c r="U809" i="2"/>
  <c r="V809" i="2" s="1"/>
  <c r="W809" i="2" s="1"/>
  <c r="X809" i="2" s="1"/>
  <c r="U825" i="2"/>
  <c r="V825" i="2" s="1"/>
  <c r="W825" i="2" s="1"/>
  <c r="X825" i="2" s="1"/>
  <c r="U1231" i="2"/>
  <c r="V1231" i="2" s="1"/>
  <c r="W1231" i="2" s="1"/>
  <c r="X1231" i="2" s="1"/>
  <c r="U172" i="2"/>
  <c r="X172" i="2" s="1"/>
  <c r="U413" i="2"/>
  <c r="V413" i="2" s="1"/>
  <c r="W413" i="2" s="1"/>
  <c r="X413" i="2" s="1"/>
  <c r="AG431" i="2"/>
  <c r="U470" i="2"/>
  <c r="V470" i="2" s="1"/>
  <c r="W470" i="2" s="1"/>
  <c r="X470" i="2" s="1"/>
  <c r="AH1261" i="2"/>
  <c r="U85" i="2"/>
  <c r="X85" i="2" s="1"/>
  <c r="AE144" i="2"/>
  <c r="U670" i="2"/>
  <c r="V670" i="2" s="1"/>
  <c r="W670" i="2" s="1"/>
  <c r="X670" i="2" s="1"/>
  <c r="U750" i="2"/>
  <c r="V750" i="2" s="1"/>
  <c r="W750" i="2" s="1"/>
  <c r="X750" i="2" s="1"/>
  <c r="AG849" i="2"/>
  <c r="AE856" i="2"/>
  <c r="AH143" i="2"/>
  <c r="AK143" i="2" s="1"/>
  <c r="AL143" i="2" s="1"/>
  <c r="AN143" i="2" s="1"/>
  <c r="AF160" i="2"/>
  <c r="AD637" i="2"/>
  <c r="U84" i="2"/>
  <c r="X84" i="2" s="1"/>
  <c r="F10" i="1"/>
  <c r="U999" i="2"/>
  <c r="V999" i="2" s="1"/>
  <c r="W999" i="2" s="1"/>
  <c r="X999" i="2" s="1"/>
  <c r="U1024" i="2"/>
  <c r="V1024" i="2" s="1"/>
  <c r="W1024" i="2" s="1"/>
  <c r="X1024" i="2" s="1"/>
  <c r="U1088" i="2"/>
  <c r="V1088" i="2" s="1"/>
  <c r="W1088" i="2" s="1"/>
  <c r="X1088" i="2" s="1"/>
  <c r="AD1128" i="2"/>
  <c r="U432" i="2"/>
  <c r="V432" i="2" s="1"/>
  <c r="W432" i="2" s="1"/>
  <c r="X432" i="2" s="1"/>
  <c r="AF589" i="2"/>
  <c r="AH1038" i="2"/>
  <c r="AE1268" i="2"/>
  <c r="U40" i="2"/>
  <c r="V40" i="2" s="1"/>
  <c r="W40" i="2" s="1"/>
  <c r="X40" i="2" s="1"/>
  <c r="G10" i="1"/>
  <c r="AG414" i="2"/>
  <c r="AH455" i="2"/>
  <c r="AD519" i="2"/>
  <c r="F15" i="1"/>
  <c r="G22" i="1"/>
  <c r="AF478" i="2"/>
  <c r="U680" i="2"/>
  <c r="V680" i="2" s="1"/>
  <c r="W680" i="2" s="1"/>
  <c r="X680" i="2" s="1"/>
  <c r="U1004" i="2"/>
  <c r="V1004" i="2" s="1"/>
  <c r="W1004" i="2" s="1"/>
  <c r="X1004" i="2" s="1"/>
  <c r="U1061" i="2"/>
  <c r="V1061" i="2" s="1"/>
  <c r="W1061" i="2" s="1"/>
  <c r="X1061" i="2" s="1"/>
  <c r="U16" i="2"/>
  <c r="V16" i="2" s="1"/>
  <c r="W16" i="2" s="1"/>
  <c r="X16" i="2" s="1"/>
  <c r="U719" i="2"/>
  <c r="V719" i="2" s="1"/>
  <c r="W719" i="2" s="1"/>
  <c r="X719" i="2" s="1"/>
  <c r="F23" i="1"/>
  <c r="AE11" i="2"/>
  <c r="AG30" i="2"/>
  <c r="AE72" i="2"/>
  <c r="AH77" i="2"/>
  <c r="AE109" i="2"/>
  <c r="U132" i="2"/>
  <c r="V132" i="2" s="1"/>
  <c r="W132" i="2" s="1"/>
  <c r="X132" i="2" s="1"/>
  <c r="AH416" i="2"/>
  <c r="U425" i="2"/>
  <c r="V425" i="2" s="1"/>
  <c r="W425" i="2" s="1"/>
  <c r="X425" i="2" s="1"/>
  <c r="AG482" i="2"/>
  <c r="U507" i="2"/>
  <c r="V507" i="2" s="1"/>
  <c r="W507" i="2" s="1"/>
  <c r="X507" i="2" s="1"/>
  <c r="AE1023" i="2"/>
  <c r="U1114" i="2"/>
  <c r="V1114" i="2" s="1"/>
  <c r="W1114" i="2" s="1"/>
  <c r="X1114" i="2" s="1"/>
  <c r="U1267" i="2"/>
  <c r="V1267" i="2" s="1"/>
  <c r="W1267" i="2" s="1"/>
  <c r="X1267" i="2" s="1"/>
  <c r="AG84" i="2"/>
  <c r="AD142" i="2"/>
  <c r="AH316" i="2"/>
  <c r="AH641" i="2"/>
  <c r="U816" i="2"/>
  <c r="V816" i="2" s="1"/>
  <c r="W816" i="2" s="1"/>
  <c r="X816" i="2" s="1"/>
  <c r="E17" i="1"/>
  <c r="U1096" i="2"/>
  <c r="V1096" i="2" s="1"/>
  <c r="W1096" i="2" s="1"/>
  <c r="X1096" i="2" s="1"/>
  <c r="U1109" i="2"/>
  <c r="V1109" i="2" s="1"/>
  <c r="U1144" i="2"/>
  <c r="V1144" i="2" s="1"/>
  <c r="W1144" i="2" s="1"/>
  <c r="X1144" i="2" s="1"/>
  <c r="AE1146" i="2"/>
  <c r="AD1265" i="2"/>
  <c r="U1283" i="2"/>
  <c r="V1283" i="2" s="1"/>
  <c r="U1299" i="2"/>
  <c r="W1299" i="2" s="1"/>
  <c r="AD16" i="2"/>
  <c r="AE632" i="2"/>
  <c r="H16" i="1"/>
  <c r="AH871" i="2"/>
  <c r="AH873" i="2"/>
  <c r="AH940" i="2"/>
  <c r="AF1141" i="2"/>
  <c r="AF1251" i="2"/>
  <c r="AF38" i="2"/>
  <c r="U297" i="2"/>
  <c r="V297" i="2" s="1"/>
  <c r="W297" i="2" s="1"/>
  <c r="X297" i="2" s="1"/>
  <c r="U389" i="2"/>
  <c r="V389" i="2" s="1"/>
  <c r="W389" i="2" s="1"/>
  <c r="X389" i="2" s="1"/>
  <c r="AD421" i="2"/>
  <c r="U455" i="2"/>
  <c r="V455" i="2" s="1"/>
  <c r="W455" i="2" s="1"/>
  <c r="X455" i="2" s="1"/>
  <c r="U503" i="2"/>
  <c r="V503" i="2" s="1"/>
  <c r="W503" i="2" s="1"/>
  <c r="X503" i="2" s="1"/>
  <c r="U512" i="2"/>
  <c r="V512" i="2" s="1"/>
  <c r="W512" i="2" s="1"/>
  <c r="X512" i="2" s="1"/>
  <c r="U528" i="2"/>
  <c r="V528" i="2" s="1"/>
  <c r="W528" i="2" s="1"/>
  <c r="X528" i="2" s="1"/>
  <c r="AG802" i="2"/>
  <c r="AG827" i="2"/>
  <c r="H17" i="1"/>
  <c r="AF889" i="2"/>
  <c r="U917" i="2"/>
  <c r="V917" i="2" s="1"/>
  <c r="W917" i="2" s="1"/>
  <c r="X917" i="2" s="1"/>
  <c r="U956" i="2"/>
  <c r="V956" i="2" s="1"/>
  <c r="W956" i="2" s="1"/>
  <c r="X956" i="2" s="1"/>
  <c r="AG1117" i="2"/>
  <c r="U1122" i="2"/>
  <c r="V1122" i="2" s="1"/>
  <c r="W1122" i="2" s="1"/>
  <c r="X1122" i="2" s="1"/>
  <c r="U1218" i="2"/>
  <c r="V1218" i="2" s="1"/>
  <c r="W1218" i="2" s="1"/>
  <c r="X1218" i="2" s="1"/>
  <c r="AD400" i="2"/>
  <c r="H22" i="1"/>
  <c r="U154" i="2"/>
  <c r="V154" i="2" s="1"/>
  <c r="W154" i="2" s="1"/>
  <c r="X154" i="2" s="1"/>
  <c r="U159" i="2"/>
  <c r="U181" i="2"/>
  <c r="V181" i="2" s="1"/>
  <c r="W181" i="2" s="1"/>
  <c r="X181" i="2" s="1"/>
  <c r="U309" i="2"/>
  <c r="V309" i="2" s="1"/>
  <c r="W309" i="2" s="1"/>
  <c r="X309" i="2" s="1"/>
  <c r="U339" i="2"/>
  <c r="V339" i="2" s="1"/>
  <c r="W339" i="2" s="1"/>
  <c r="X339" i="2" s="1"/>
  <c r="U560" i="2"/>
  <c r="V560" i="2" s="1"/>
  <c r="W560" i="2" s="1"/>
  <c r="X560" i="2" s="1"/>
  <c r="U651" i="2"/>
  <c r="V651" i="2" s="1"/>
  <c r="W651" i="2" s="1"/>
  <c r="X651" i="2" s="1"/>
  <c r="AH1222" i="2"/>
  <c r="AH55" i="2"/>
  <c r="AK55" i="2" s="1"/>
  <c r="AL55" i="2" s="1"/>
  <c r="AN55" i="2" s="1"/>
  <c r="AH71" i="2"/>
  <c r="AH267" i="2"/>
  <c r="U346" i="2"/>
  <c r="V346" i="2" s="1"/>
  <c r="W346" i="2" s="1"/>
  <c r="X346" i="2" s="1"/>
  <c r="F13" i="1"/>
  <c r="U419" i="2"/>
  <c r="V419" i="2" s="1"/>
  <c r="W419" i="2" s="1"/>
  <c r="X419" i="2" s="1"/>
  <c r="U714" i="2"/>
  <c r="AH859" i="2"/>
  <c r="AF1076" i="2"/>
  <c r="AH1135" i="2"/>
  <c r="H18" i="1"/>
  <c r="U133" i="2"/>
  <c r="V133" i="2" s="1"/>
  <c r="W133" i="2" s="1"/>
  <c r="X133" i="2" s="1"/>
  <c r="AE295" i="2"/>
  <c r="U307" i="2"/>
  <c r="V307" i="2" s="1"/>
  <c r="W307" i="2" s="1"/>
  <c r="X307" i="2" s="1"/>
  <c r="AH317" i="2"/>
  <c r="U337" i="2"/>
  <c r="V337" i="2" s="1"/>
  <c r="W337" i="2" s="1"/>
  <c r="X337" i="2" s="1"/>
  <c r="AF376" i="2"/>
  <c r="AF487" i="2"/>
  <c r="AE599" i="2"/>
  <c r="E15" i="1"/>
  <c r="U1140" i="2"/>
  <c r="V1140" i="2" s="1"/>
  <c r="W1140" i="2" s="1"/>
  <c r="X1140" i="2" s="1"/>
  <c r="U1204" i="2"/>
  <c r="V1204" i="2" s="1"/>
  <c r="W1204" i="2" s="1"/>
  <c r="X1204" i="2" s="1"/>
  <c r="AH204" i="2"/>
  <c r="AH233" i="2"/>
  <c r="U474" i="2"/>
  <c r="V474" i="2" s="1"/>
  <c r="W474" i="2" s="1"/>
  <c r="X474" i="2" s="1"/>
  <c r="AH606" i="2"/>
  <c r="AH746" i="2"/>
  <c r="AE840" i="2"/>
  <c r="U872" i="2"/>
  <c r="U1227" i="2"/>
  <c r="AD1250" i="2"/>
  <c r="U1259" i="2"/>
  <c r="V1259" i="2" s="1"/>
  <c r="W1259" i="2" s="1"/>
  <c r="X1259" i="2" s="1"/>
  <c r="AG335" i="2"/>
  <c r="AG563" i="2"/>
  <c r="AD654" i="2"/>
  <c r="AH792" i="2"/>
  <c r="AH824" i="2"/>
  <c r="AH1172" i="2"/>
  <c r="AK1172" i="2" s="1"/>
  <c r="AL1172" i="2" s="1"/>
  <c r="AM1172" i="2" s="1"/>
  <c r="AN1172" i="2" s="1"/>
  <c r="AH32" i="2"/>
  <c r="AE221" i="2"/>
  <c r="U241" i="2"/>
  <c r="V241" i="2" s="1"/>
  <c r="W241" i="2" s="1"/>
  <c r="X241" i="2" s="1"/>
  <c r="U349" i="2"/>
  <c r="V349" i="2" s="1"/>
  <c r="W349" i="2" s="1"/>
  <c r="X349" i="2" s="1"/>
  <c r="U522" i="2"/>
  <c r="V522" i="2" s="1"/>
  <c r="W522" i="2" s="1"/>
  <c r="X522" i="2" s="1"/>
  <c r="U710" i="2"/>
  <c r="V710" i="2" s="1"/>
  <c r="W710" i="2" s="1"/>
  <c r="X710" i="2" s="1"/>
  <c r="AF712" i="2"/>
  <c r="AF767" i="2"/>
  <c r="AD918" i="2"/>
  <c r="U932" i="2"/>
  <c r="V932" i="2" s="1"/>
  <c r="W932" i="2" s="1"/>
  <c r="X932" i="2" s="1"/>
  <c r="AG959" i="2"/>
  <c r="U1079" i="2"/>
  <c r="V1079" i="2" s="1"/>
  <c r="W1079" i="2" s="1"/>
  <c r="X1079" i="2" s="1"/>
  <c r="U1143" i="2"/>
  <c r="V1143" i="2" s="1"/>
  <c r="W1143" i="2" s="1"/>
  <c r="X1143" i="2" s="1"/>
  <c r="U1257" i="2"/>
  <c r="V1257" i="2" s="1"/>
  <c r="W1257" i="2" s="1"/>
  <c r="X1257" i="2" s="1"/>
  <c r="U122" i="2"/>
  <c r="V122" i="2" s="1"/>
  <c r="W122" i="2" s="1"/>
  <c r="X122" i="2" s="1"/>
  <c r="AF838" i="2"/>
  <c r="AH543" i="2"/>
  <c r="G14" i="1"/>
  <c r="AH813" i="2"/>
  <c r="AH1054" i="2"/>
  <c r="AF1084" i="2"/>
  <c r="AD1266" i="2"/>
  <c r="U51" i="2"/>
  <c r="V51" i="2" s="1"/>
  <c r="W51" i="2" s="1"/>
  <c r="X51" i="2" s="1"/>
  <c r="AE129" i="2"/>
  <c r="U187" i="2"/>
  <c r="V187" i="2" s="1"/>
  <c r="W187" i="2" s="1"/>
  <c r="X187" i="2" s="1"/>
  <c r="AG509" i="2"/>
  <c r="AF738" i="2"/>
  <c r="U781" i="2"/>
  <c r="V781" i="2" s="1"/>
  <c r="W781" i="2" s="1"/>
  <c r="X781" i="2" s="1"/>
  <c r="U797" i="2"/>
  <c r="V797" i="2" s="1"/>
  <c r="W797" i="2" s="1"/>
  <c r="X797" i="2" s="1"/>
  <c r="U30" i="2"/>
  <c r="V30" i="2" s="1"/>
  <c r="W30" i="2" s="1"/>
  <c r="X30" i="2" s="1"/>
  <c r="AH44" i="2"/>
  <c r="U95" i="2"/>
  <c r="AH217" i="2"/>
  <c r="U331" i="2"/>
  <c r="V331" i="2" s="1"/>
  <c r="W331" i="2" s="1"/>
  <c r="X331" i="2" s="1"/>
  <c r="U468" i="2"/>
  <c r="V468" i="2" s="1"/>
  <c r="W468" i="2" s="1"/>
  <c r="X468" i="2" s="1"/>
  <c r="AG484" i="2"/>
  <c r="U509" i="2"/>
  <c r="V509" i="2" s="1"/>
  <c r="W509" i="2" s="1"/>
  <c r="X509" i="2" s="1"/>
  <c r="AD550" i="2"/>
  <c r="U618" i="2"/>
  <c r="V618" i="2" s="1"/>
  <c r="W618" i="2" s="1"/>
  <c r="X618" i="2" s="1"/>
  <c r="AG657" i="2"/>
  <c r="AH672" i="2"/>
  <c r="AK672" i="2" s="1"/>
  <c r="AL672" i="2" s="1"/>
  <c r="AN672" i="2" s="1"/>
  <c r="U681" i="2"/>
  <c r="V681" i="2" s="1"/>
  <c r="W681" i="2" s="1"/>
  <c r="X681" i="2" s="1"/>
  <c r="U860" i="2"/>
  <c r="V860" i="2" s="1"/>
  <c r="W860" i="2" s="1"/>
  <c r="X860" i="2" s="1"/>
  <c r="U879" i="2"/>
  <c r="V879" i="2" s="1"/>
  <c r="W879" i="2" s="1"/>
  <c r="X879" i="2" s="1"/>
  <c r="AE1073" i="2"/>
  <c r="AH1082" i="2"/>
  <c r="U1215" i="2"/>
  <c r="V1215" i="2" s="1"/>
  <c r="W1215" i="2" s="1"/>
  <c r="X1215" i="2" s="1"/>
  <c r="AF54" i="2"/>
  <c r="U104" i="2"/>
  <c r="V104" i="2" s="1"/>
  <c r="W104" i="2" s="1"/>
  <c r="X104" i="2" s="1"/>
  <c r="U127" i="2"/>
  <c r="V127" i="2" s="1"/>
  <c r="W127" i="2" s="1"/>
  <c r="X127" i="2" s="1"/>
  <c r="AF155" i="2"/>
  <c r="AH201" i="2"/>
  <c r="AK201" i="2" s="1"/>
  <c r="AL201" i="2" s="1"/>
  <c r="AM201" i="2" s="1"/>
  <c r="AN201" i="2" s="1"/>
  <c r="AH206" i="2"/>
  <c r="U283" i="2"/>
  <c r="U355" i="2"/>
  <c r="V355" i="2" s="1"/>
  <c r="W355" i="2" s="1"/>
  <c r="X355" i="2" s="1"/>
  <c r="U371" i="2"/>
  <c r="U441" i="2"/>
  <c r="V441" i="2" s="1"/>
  <c r="W441" i="2" s="1"/>
  <c r="X441" i="2" s="1"/>
  <c r="U486" i="2"/>
  <c r="V486" i="2" s="1"/>
  <c r="W486" i="2" s="1"/>
  <c r="X486" i="2" s="1"/>
  <c r="AH538" i="2"/>
  <c r="AE583" i="2"/>
  <c r="AF585" i="2"/>
  <c r="AG628" i="2"/>
  <c r="AH676" i="2"/>
  <c r="AK676" i="2" s="1"/>
  <c r="AL676" i="2" s="1"/>
  <c r="AN676" i="2" s="1"/>
  <c r="U699" i="2"/>
  <c r="V699" i="2" s="1"/>
  <c r="W699" i="2" s="1"/>
  <c r="X699" i="2" s="1"/>
  <c r="U726" i="2"/>
  <c r="V726" i="2" s="1"/>
  <c r="W726" i="2" s="1"/>
  <c r="X726" i="2" s="1"/>
  <c r="U891" i="2"/>
  <c r="V891" i="2" s="1"/>
  <c r="W891" i="2" s="1"/>
  <c r="X891" i="2" s="1"/>
  <c r="AF912" i="2"/>
  <c r="AG964" i="2"/>
  <c r="H19" i="1"/>
  <c r="AD1022" i="2"/>
  <c r="U1110" i="2"/>
  <c r="V1110" i="2" s="1"/>
  <c r="W1110" i="2" s="1"/>
  <c r="X1110" i="2" s="1"/>
  <c r="U1276" i="2"/>
  <c r="V1276" i="2" s="1"/>
  <c r="W1276" i="2" s="1"/>
  <c r="X1276" i="2" s="1"/>
  <c r="AF1283" i="2"/>
  <c r="U1292" i="2"/>
  <c r="V1292" i="2" s="1"/>
  <c r="W1292" i="2" s="1"/>
  <c r="X1292" i="2" s="1"/>
  <c r="AH719" i="2"/>
  <c r="F14" i="1"/>
  <c r="AE878" i="2"/>
  <c r="E21" i="1"/>
  <c r="H23" i="1"/>
  <c r="G24" i="1"/>
  <c r="U36" i="2"/>
  <c r="V36" i="2" s="1"/>
  <c r="W36" i="2" s="1"/>
  <c r="X36" i="2" s="1"/>
  <c r="U102" i="2"/>
  <c r="V102" i="2" s="1"/>
  <c r="W102" i="2" s="1"/>
  <c r="X102" i="2" s="1"/>
  <c r="AH104" i="2"/>
  <c r="AH120" i="2"/>
  <c r="AE127" i="2"/>
  <c r="AF129" i="2"/>
  <c r="U182" i="2"/>
  <c r="V182" i="2" s="1"/>
  <c r="W182" i="2" s="1"/>
  <c r="X182" i="2" s="1"/>
  <c r="AE243" i="2"/>
  <c r="U353" i="2"/>
  <c r="V353" i="2" s="1"/>
  <c r="W353" i="2" s="1"/>
  <c r="X353" i="2" s="1"/>
  <c r="AF389" i="2"/>
  <c r="AE407" i="2"/>
  <c r="U484" i="2"/>
  <c r="V484" i="2" s="1"/>
  <c r="AE619" i="2"/>
  <c r="U635" i="2"/>
  <c r="V635" i="2" s="1"/>
  <c r="U637" i="2"/>
  <c r="V637" i="2" s="1"/>
  <c r="W637" i="2" s="1"/>
  <c r="X637" i="2" s="1"/>
  <c r="AF812" i="2"/>
  <c r="E14" i="1"/>
  <c r="AF819" i="2"/>
  <c r="U993" i="2"/>
  <c r="V993" i="2" s="1"/>
  <c r="W993" i="2" s="1"/>
  <c r="X993" i="2" s="1"/>
  <c r="E19" i="1"/>
  <c r="U1034" i="2"/>
  <c r="V1034" i="2" s="1"/>
  <c r="W1034" i="2" s="1"/>
  <c r="X1034" i="2" s="1"/>
  <c r="AD1036" i="2"/>
  <c r="AF1054" i="2"/>
  <c r="H20" i="1"/>
  <c r="U1068" i="2"/>
  <c r="V1068" i="2" s="1"/>
  <c r="W1068" i="2" s="1"/>
  <c r="X1068" i="2" s="1"/>
  <c r="AD1077" i="2"/>
  <c r="AD1102" i="2"/>
  <c r="AH1245" i="2"/>
  <c r="G13" i="1"/>
  <c r="E22" i="1"/>
  <c r="AH27" i="2"/>
  <c r="AH43" i="2"/>
  <c r="U82" i="2"/>
  <c r="V82" i="2" s="1"/>
  <c r="AD95" i="2"/>
  <c r="AG132" i="2"/>
  <c r="AE192" i="2"/>
  <c r="U251" i="2"/>
  <c r="V251" i="2" s="1"/>
  <c r="W251" i="2" s="1"/>
  <c r="X251" i="2" s="1"/>
  <c r="AG276" i="2"/>
  <c r="AE396" i="2"/>
  <c r="U493" i="2"/>
  <c r="V493" i="2" s="1"/>
  <c r="W493" i="2" s="1"/>
  <c r="X493" i="2" s="1"/>
  <c r="U520" i="2"/>
  <c r="V520" i="2" s="1"/>
  <c r="W520" i="2" s="1"/>
  <c r="X520" i="2" s="1"/>
  <c r="AH522" i="2"/>
  <c r="AD583" i="2"/>
  <c r="U608" i="2"/>
  <c r="V608" i="2" s="1"/>
  <c r="W608" i="2" s="1"/>
  <c r="X608" i="2" s="1"/>
  <c r="U697" i="2"/>
  <c r="V697" i="2" s="1"/>
  <c r="AD731" i="2"/>
  <c r="U783" i="2"/>
  <c r="V783" i="2" s="1"/>
  <c r="W783" i="2" s="1"/>
  <c r="X783" i="2" s="1"/>
  <c r="AH833" i="2"/>
  <c r="U840" i="2"/>
  <c r="V840" i="2" s="1"/>
  <c r="W840" i="2" s="1"/>
  <c r="X840" i="2" s="1"/>
  <c r="E16" i="1"/>
  <c r="U896" i="2"/>
  <c r="V896" i="2" s="1"/>
  <c r="W896" i="2" s="1"/>
  <c r="X896" i="2" s="1"/>
  <c r="AG956" i="2"/>
  <c r="U991" i="2"/>
  <c r="V991" i="2" s="1"/>
  <c r="W991" i="2" s="1"/>
  <c r="X991" i="2" s="1"/>
  <c r="AE1016" i="2"/>
  <c r="U1059" i="2"/>
  <c r="V1059" i="2" s="1"/>
  <c r="W1059" i="2" s="1"/>
  <c r="X1059" i="2" s="1"/>
  <c r="AH1061" i="2"/>
  <c r="AG1066" i="2"/>
  <c r="AH1093" i="2"/>
  <c r="AH29" i="2"/>
  <c r="AH38" i="2"/>
  <c r="AD75" i="2"/>
  <c r="AD125" i="2"/>
  <c r="AH150" i="2"/>
  <c r="U323" i="2"/>
  <c r="V323" i="2" s="1"/>
  <c r="W323" i="2" s="1"/>
  <c r="X323" i="2" s="1"/>
  <c r="U367" i="2"/>
  <c r="V367" i="2" s="1"/>
  <c r="W367" i="2" s="1"/>
  <c r="X367" i="2" s="1"/>
  <c r="AD392" i="2"/>
  <c r="U428" i="2"/>
  <c r="V428" i="2" s="1"/>
  <c r="W428" i="2" s="1"/>
  <c r="X428" i="2" s="1"/>
  <c r="AH464" i="2"/>
  <c r="U482" i="2"/>
  <c r="U491" i="2"/>
  <c r="U590" i="2"/>
  <c r="V590" i="2" s="1"/>
  <c r="W590" i="2" s="1"/>
  <c r="X590" i="2" s="1"/>
  <c r="U633" i="2"/>
  <c r="V633" i="2" s="1"/>
  <c r="W633" i="2" s="1"/>
  <c r="X633" i="2" s="1"/>
  <c r="U653" i="2"/>
  <c r="V653" i="2" s="1"/>
  <c r="W653" i="2" s="1"/>
  <c r="X653" i="2" s="1"/>
  <c r="AG655" i="2"/>
  <c r="AH657" i="2"/>
  <c r="AE677" i="2"/>
  <c r="AH695" i="2"/>
  <c r="AK695" i="2" s="1"/>
  <c r="AL695" i="2" s="1"/>
  <c r="AN695" i="2" s="1"/>
  <c r="U1304" i="2"/>
  <c r="V1304" i="2" s="1"/>
  <c r="W1304" i="2" s="1"/>
  <c r="X1304" i="2" s="1"/>
  <c r="AH22" i="2"/>
  <c r="AG182" i="2"/>
  <c r="U212" i="2"/>
  <c r="V212" i="2" s="1"/>
  <c r="W212" i="2" s="1"/>
  <c r="X212" i="2" s="1"/>
  <c r="AF219" i="2"/>
  <c r="AG241" i="2"/>
  <c r="U281" i="2"/>
  <c r="V281" i="2" s="1"/>
  <c r="W281" i="2" s="1"/>
  <c r="X281" i="2" s="1"/>
  <c r="U298" i="2"/>
  <c r="V298" i="2" s="1"/>
  <c r="W298" i="2" s="1"/>
  <c r="X298" i="2" s="1"/>
  <c r="V491" i="2"/>
  <c r="AD554" i="2"/>
  <c r="AG583" i="2"/>
  <c r="AE608" i="2"/>
  <c r="AG715" i="2"/>
  <c r="AG740" i="2"/>
  <c r="AG783" i="2"/>
  <c r="AD838" i="2"/>
  <c r="U894" i="2"/>
  <c r="V894" i="2" s="1"/>
  <c r="W894" i="2" s="1"/>
  <c r="X894" i="2" s="1"/>
  <c r="AH954" i="2"/>
  <c r="U965" i="2"/>
  <c r="V965" i="2" s="1"/>
  <c r="U974" i="2"/>
  <c r="V974" i="2" s="1"/>
  <c r="W974" i="2" s="1"/>
  <c r="X974" i="2" s="1"/>
  <c r="AH1098" i="2"/>
  <c r="AK1098" i="2" s="1"/>
  <c r="AL1098" i="2" s="1"/>
  <c r="AN1098" i="2" s="1"/>
  <c r="AG1105" i="2"/>
  <c r="AH1204" i="2"/>
  <c r="U8" i="2"/>
  <c r="V8" i="2" s="1"/>
  <c r="W8" i="2" s="1"/>
  <c r="X8" i="2" s="1"/>
  <c r="U48" i="2"/>
  <c r="X48" i="2" s="1"/>
  <c r="AH158" i="2"/>
  <c r="AG227" i="2"/>
  <c r="AF232" i="2"/>
  <c r="U286" i="2"/>
  <c r="V286" i="2" s="1"/>
  <c r="W286" i="2" s="1"/>
  <c r="X286" i="2" s="1"/>
  <c r="AG291" i="2"/>
  <c r="U333" i="2"/>
  <c r="V333" i="2" s="1"/>
  <c r="W333" i="2" s="1"/>
  <c r="X333" i="2" s="1"/>
  <c r="U401" i="2"/>
  <c r="V401" i="2" s="1"/>
  <c r="W401" i="2" s="1"/>
  <c r="X401" i="2" s="1"/>
  <c r="U471" i="2"/>
  <c r="V471" i="2" s="1"/>
  <c r="W471" i="2" s="1"/>
  <c r="X471" i="2" s="1"/>
  <c r="AD473" i="2"/>
  <c r="U516" i="2"/>
  <c r="V516" i="2" s="1"/>
  <c r="W516" i="2" s="1"/>
  <c r="X516" i="2" s="1"/>
  <c r="U541" i="2"/>
  <c r="AG670" i="2"/>
  <c r="AH727" i="2"/>
  <c r="U788" i="2"/>
  <c r="V788" i="2" s="1"/>
  <c r="W788" i="2" s="1"/>
  <c r="X788" i="2" s="1"/>
  <c r="AE887" i="2"/>
  <c r="AD1048" i="2"/>
  <c r="AG1095" i="2"/>
  <c r="AG1225" i="2"/>
  <c r="U1302" i="2"/>
  <c r="V1302" i="2" s="1"/>
  <c r="W1302" i="2" s="1"/>
  <c r="X1302" i="2" s="1"/>
  <c r="AH87" i="2"/>
  <c r="H8" i="1"/>
  <c r="U105" i="2"/>
  <c r="V105" i="2" s="1"/>
  <c r="W105" i="2" s="1"/>
  <c r="X105" i="2" s="1"/>
  <c r="U121" i="2"/>
  <c r="V121" i="2" s="1"/>
  <c r="W121" i="2" s="1"/>
  <c r="X121" i="2" s="1"/>
  <c r="U128" i="2"/>
  <c r="AE190" i="2"/>
  <c r="U195" i="2"/>
  <c r="V195" i="2" s="1"/>
  <c r="W195" i="2" s="1"/>
  <c r="X195" i="2" s="1"/>
  <c r="U222" i="2"/>
  <c r="V222" i="2" s="1"/>
  <c r="W222" i="2" s="1"/>
  <c r="X222" i="2" s="1"/>
  <c r="AH363" i="2"/>
  <c r="AK363" i="2" s="1"/>
  <c r="AL363" i="2" s="1"/>
  <c r="AN363" i="2" s="1"/>
  <c r="AG449" i="2"/>
  <c r="AH509" i="2"/>
  <c r="AF629" i="2"/>
  <c r="AG638" i="2"/>
  <c r="AF651" i="2"/>
  <c r="AH684" i="2"/>
  <c r="AK684" i="2" s="1"/>
  <c r="AL684" i="2" s="1"/>
  <c r="AN684" i="2" s="1"/>
  <c r="AH718" i="2"/>
  <c r="AD761" i="2"/>
  <c r="AH827" i="2"/>
  <c r="AE843" i="2"/>
  <c r="AE859" i="2"/>
  <c r="AD956" i="2"/>
  <c r="AH991" i="2"/>
  <c r="U996" i="2"/>
  <c r="V996" i="2" s="1"/>
  <c r="W996" i="2" s="1"/>
  <c r="X996" i="2" s="1"/>
  <c r="AE998" i="2"/>
  <c r="AH1012" i="2"/>
  <c r="AG1057" i="2"/>
  <c r="AH1136" i="2"/>
  <c r="AG1232" i="2"/>
  <c r="AE1284" i="2"/>
  <c r="U46" i="2"/>
  <c r="V46" i="2" s="1"/>
  <c r="W46" i="2" s="1"/>
  <c r="X46" i="2" s="1"/>
  <c r="U69" i="2"/>
  <c r="V69" i="2" s="1"/>
  <c r="W69" i="2" s="1"/>
  <c r="X69" i="2" s="1"/>
  <c r="AH114" i="2"/>
  <c r="AF176" i="2"/>
  <c r="H13" i="1"/>
  <c r="U363" i="2"/>
  <c r="V363" i="2" s="1"/>
  <c r="W363" i="2" s="1"/>
  <c r="X363" i="2" s="1"/>
  <c r="AF431" i="2"/>
  <c r="AE476" i="2"/>
  <c r="AG507" i="2"/>
  <c r="AE656" i="2"/>
  <c r="AG725" i="2"/>
  <c r="AH734" i="2"/>
  <c r="AG788" i="2"/>
  <c r="AF797" i="2"/>
  <c r="AH802" i="2"/>
  <c r="AH855" i="2"/>
  <c r="AF1051" i="2"/>
  <c r="AG1091" i="2"/>
  <c r="U1106" i="2"/>
  <c r="V1106" i="2" s="1"/>
  <c r="W1106" i="2" s="1"/>
  <c r="X1106" i="2" s="1"/>
  <c r="AH1146" i="2"/>
  <c r="U1156" i="2"/>
  <c r="V1156" i="2" s="1"/>
  <c r="W1156" i="2" s="1"/>
  <c r="X1156" i="2" s="1"/>
  <c r="AH1187" i="2"/>
  <c r="AF1239" i="2"/>
  <c r="U1248" i="2"/>
  <c r="V1248" i="2" s="1"/>
  <c r="W1248" i="2" s="1"/>
  <c r="X1248" i="2" s="1"/>
  <c r="U1300" i="2"/>
  <c r="V1300" i="2" s="1"/>
  <c r="W1300" i="2" s="1"/>
  <c r="X1300" i="2" s="1"/>
  <c r="AF1302" i="2"/>
  <c r="AF16" i="2"/>
  <c r="AG76" i="2"/>
  <c r="AF140" i="2"/>
  <c r="AH169" i="2"/>
  <c r="AG225" i="2"/>
  <c r="AF269" i="2"/>
  <c r="G12" i="1"/>
  <c r="AE345" i="2"/>
  <c r="AG447" i="2"/>
  <c r="AG512" i="2"/>
  <c r="U682" i="2"/>
  <c r="V682" i="2" s="1"/>
  <c r="W682" i="2" s="1"/>
  <c r="X682" i="2" s="1"/>
  <c r="U684" i="2"/>
  <c r="V684" i="2" s="1"/>
  <c r="W684" i="2" s="1"/>
  <c r="X684" i="2" s="1"/>
  <c r="AH702" i="2"/>
  <c r="AK702" i="2" s="1"/>
  <c r="AL702" i="2" s="1"/>
  <c r="AN702" i="2" s="1"/>
  <c r="AH750" i="2"/>
  <c r="AH777" i="2"/>
  <c r="AD779" i="2"/>
  <c r="AH865" i="2"/>
  <c r="AE927" i="2"/>
  <c r="AE959" i="2"/>
  <c r="U970" i="2"/>
  <c r="V970" i="2" s="1"/>
  <c r="W970" i="2" s="1"/>
  <c r="X970" i="2" s="1"/>
  <c r="U985" i="2"/>
  <c r="V985" i="2" s="1"/>
  <c r="W985" i="2" s="1"/>
  <c r="X985" i="2" s="1"/>
  <c r="AH1060" i="2"/>
  <c r="AE1076" i="2"/>
  <c r="AH1119" i="2"/>
  <c r="U1141" i="2"/>
  <c r="V1141" i="2" s="1"/>
  <c r="W1141" i="2" s="1"/>
  <c r="X1141" i="2" s="1"/>
  <c r="AD1282" i="2"/>
  <c r="AG348" i="2"/>
  <c r="AH28" i="2"/>
  <c r="AE67" i="2"/>
  <c r="AD69" i="2"/>
  <c r="AG203" i="2"/>
  <c r="AF222" i="2"/>
  <c r="AD322" i="2"/>
  <c r="AF433" i="2"/>
  <c r="AF613" i="2"/>
  <c r="AF791" i="2"/>
  <c r="AF875" i="2"/>
  <c r="AH1001" i="2"/>
  <c r="AE1221" i="2"/>
  <c r="AD56" i="2"/>
  <c r="AH108" i="2"/>
  <c r="F9" i="1"/>
  <c r="AG311" i="2"/>
  <c r="U544" i="2"/>
  <c r="V544" i="2" s="1"/>
  <c r="W544" i="2" s="1"/>
  <c r="X544" i="2" s="1"/>
  <c r="U571" i="2"/>
  <c r="V571" i="2" s="1"/>
  <c r="W571" i="2" s="1"/>
  <c r="X571" i="2" s="1"/>
  <c r="AE598" i="2"/>
  <c r="U888" i="2"/>
  <c r="V888" i="2" s="1"/>
  <c r="W888" i="2" s="1"/>
  <c r="X888" i="2" s="1"/>
  <c r="AH895" i="2"/>
  <c r="U948" i="2"/>
  <c r="V948" i="2" s="1"/>
  <c r="W948" i="2" s="1"/>
  <c r="X948" i="2" s="1"/>
  <c r="AF970" i="2"/>
  <c r="U1008" i="2"/>
  <c r="V1008" i="2" s="1"/>
  <c r="W1008" i="2" s="1"/>
  <c r="X1008" i="2" s="1"/>
  <c r="AG1040" i="2"/>
  <c r="U1049" i="2"/>
  <c r="V1049" i="2" s="1"/>
  <c r="W1049" i="2" s="1"/>
  <c r="X1049" i="2" s="1"/>
  <c r="AH1104" i="2"/>
  <c r="AK1104" i="2" s="1"/>
  <c r="AL1104" i="2" s="1"/>
  <c r="AM1104" i="2" s="1"/>
  <c r="AN1104" i="2" s="1"/>
  <c r="AG1228" i="2"/>
  <c r="U1262" i="2"/>
  <c r="V1262" i="2" s="1"/>
  <c r="W1262" i="2" s="1"/>
  <c r="X1262" i="2" s="1"/>
  <c r="AH332" i="2"/>
  <c r="AH90" i="2"/>
  <c r="AF124" i="2"/>
  <c r="AF131" i="2"/>
  <c r="U143" i="2"/>
  <c r="V143" i="2" s="1"/>
  <c r="U174" i="2"/>
  <c r="V174" i="2" s="1"/>
  <c r="W174" i="2" s="1"/>
  <c r="X174" i="2" s="1"/>
  <c r="H12" i="1"/>
  <c r="U343" i="2"/>
  <c r="V343" i="2" s="1"/>
  <c r="W343" i="2" s="1"/>
  <c r="X343" i="2" s="1"/>
  <c r="U384" i="2"/>
  <c r="V384" i="2" s="1"/>
  <c r="U445" i="2"/>
  <c r="V445" i="2" s="1"/>
  <c r="W445" i="2" s="1"/>
  <c r="X445" i="2" s="1"/>
  <c r="U730" i="2"/>
  <c r="AE789" i="2"/>
  <c r="AD1047" i="2"/>
  <c r="AH1065" i="2"/>
  <c r="AH1166" i="2"/>
  <c r="U1198" i="2"/>
  <c r="V1198" i="2" s="1"/>
  <c r="W1198" i="2" s="1"/>
  <c r="X1198" i="2" s="1"/>
  <c r="AH1260" i="2"/>
  <c r="U1280" i="2"/>
  <c r="V1280" i="2" s="1"/>
  <c r="W1280" i="2" s="1"/>
  <c r="X1280" i="2" s="1"/>
  <c r="U1296" i="2"/>
  <c r="V1296" i="2" s="1"/>
  <c r="W1296" i="2" s="1"/>
  <c r="X1296" i="2" s="1"/>
  <c r="U90" i="2"/>
  <c r="V90" i="2" s="1"/>
  <c r="W90" i="2" s="1"/>
  <c r="X90" i="2" s="1"/>
  <c r="AG101" i="2"/>
  <c r="AD106" i="2"/>
  <c r="AD157" i="2"/>
  <c r="U186" i="2"/>
  <c r="V186" i="2" s="1"/>
  <c r="U201" i="2"/>
  <c r="V201" i="2" s="1"/>
  <c r="W201" i="2" s="1"/>
  <c r="X201" i="2" s="1"/>
  <c r="AD208" i="2"/>
  <c r="U267" i="2"/>
  <c r="V267" i="2" s="1"/>
  <c r="W267" i="2" s="1"/>
  <c r="X267" i="2" s="1"/>
  <c r="AF275" i="2"/>
  <c r="U327" i="2"/>
  <c r="V327" i="2" s="1"/>
  <c r="W327" i="2" s="1"/>
  <c r="X327" i="2" s="1"/>
  <c r="AH352" i="2"/>
  <c r="AK352" i="2" s="1"/>
  <c r="AL352" i="2" s="1"/>
  <c r="AN352" i="2" s="1"/>
  <c r="AH373" i="2"/>
  <c r="AK373" i="2" s="1"/>
  <c r="AL373" i="2" s="1"/>
  <c r="AN373" i="2" s="1"/>
  <c r="U402" i="2"/>
  <c r="V402" i="2" s="1"/>
  <c r="W402" i="2" s="1"/>
  <c r="X402" i="2" s="1"/>
  <c r="U436" i="2"/>
  <c r="V436" i="2" s="1"/>
  <c r="W436" i="2" s="1"/>
  <c r="X436" i="2" s="1"/>
  <c r="AE443" i="2"/>
  <c r="AH558" i="2"/>
  <c r="AG571" i="2"/>
  <c r="AF676" i="2"/>
  <c r="AE689" i="2"/>
  <c r="AF764" i="2"/>
  <c r="U839" i="2"/>
  <c r="V839" i="2" s="1"/>
  <c r="AG851" i="2"/>
  <c r="U909" i="2"/>
  <c r="V909" i="2" s="1"/>
  <c r="W909" i="2" s="1"/>
  <c r="X909" i="2" s="1"/>
  <c r="U916" i="2"/>
  <c r="V916" i="2" s="1"/>
  <c r="U923" i="2"/>
  <c r="V923" i="2" s="1"/>
  <c r="W923" i="2" s="1"/>
  <c r="X923" i="2" s="1"/>
  <c r="AE937" i="2"/>
  <c r="U955" i="2"/>
  <c r="V955" i="2" s="1"/>
  <c r="W955" i="2" s="1"/>
  <c r="X955" i="2" s="1"/>
  <c r="AG997" i="2"/>
  <c r="AE1067" i="2"/>
  <c r="U1208" i="2"/>
  <c r="V1208" i="2" s="1"/>
  <c r="W1208" i="2" s="1"/>
  <c r="X1208" i="2" s="1"/>
  <c r="AG1226" i="2"/>
  <c r="AH1269" i="2"/>
  <c r="AE19" i="2"/>
  <c r="AE40" i="2"/>
  <c r="U47" i="2"/>
  <c r="W47" i="2" s="1"/>
  <c r="AG79" i="2"/>
  <c r="AD144" i="2"/>
  <c r="AE211" i="2"/>
  <c r="U238" i="2"/>
  <c r="V238" i="2" s="1"/>
  <c r="W238" i="2" s="1"/>
  <c r="X238" i="2" s="1"/>
  <c r="AG270" i="2"/>
  <c r="AF272" i="2"/>
  <c r="U280" i="2"/>
  <c r="V280" i="2" s="1"/>
  <c r="U418" i="2"/>
  <c r="V418" i="2" s="1"/>
  <c r="W418" i="2" s="1"/>
  <c r="X418" i="2" s="1"/>
  <c r="U443" i="2"/>
  <c r="V443" i="2" s="1"/>
  <c r="W443" i="2" s="1"/>
  <c r="X443" i="2" s="1"/>
  <c r="AE497" i="2"/>
  <c r="AF669" i="2"/>
  <c r="AH714" i="2"/>
  <c r="AH730" i="2"/>
  <c r="AG753" i="2"/>
  <c r="U837" i="2"/>
  <c r="V837" i="2" s="1"/>
  <c r="W837" i="2" s="1"/>
  <c r="X837" i="2" s="1"/>
  <c r="U893" i="2"/>
  <c r="V893" i="2" s="1"/>
  <c r="W893" i="2" s="1"/>
  <c r="X893" i="2" s="1"/>
  <c r="AH907" i="2"/>
  <c r="AG1024" i="2"/>
  <c r="U1029" i="2"/>
  <c r="V1029" i="2" s="1"/>
  <c r="W1029" i="2" s="1"/>
  <c r="X1029" i="2" s="1"/>
  <c r="AD1054" i="2"/>
  <c r="U1294" i="2"/>
  <c r="V1294" i="2" s="1"/>
  <c r="W1294" i="2" s="1"/>
  <c r="X1294" i="2" s="1"/>
  <c r="AH54" i="2"/>
  <c r="U164" i="2"/>
  <c r="V164" i="2" s="1"/>
  <c r="W164" i="2" s="1"/>
  <c r="X164" i="2" s="1"/>
  <c r="U662" i="2"/>
  <c r="V662" i="2" s="1"/>
  <c r="W662" i="2" s="1"/>
  <c r="X662" i="2" s="1"/>
  <c r="AG14" i="2"/>
  <c r="U68" i="2"/>
  <c r="V68" i="2" s="1"/>
  <c r="W68" i="2" s="1"/>
  <c r="X68" i="2" s="1"/>
  <c r="U218" i="2"/>
  <c r="V218" i="2" s="1"/>
  <c r="W218" i="2" s="1"/>
  <c r="X218" i="2" s="1"/>
  <c r="AF267" i="2"/>
  <c r="AG326" i="2"/>
  <c r="AF660" i="2"/>
  <c r="AH660" i="2"/>
  <c r="U729" i="2"/>
  <c r="V729" i="2" s="1"/>
  <c r="W729" i="2" s="1"/>
  <c r="X729" i="2" s="1"/>
  <c r="AF1009" i="2"/>
  <c r="AG1009" i="2"/>
  <c r="AE1070" i="2"/>
  <c r="AD1070" i="2"/>
  <c r="AF70" i="2"/>
  <c r="AH127" i="2"/>
  <c r="F12" i="1"/>
  <c r="AF32" i="2"/>
  <c r="AH57" i="2"/>
  <c r="U139" i="2"/>
  <c r="V139" i="2" s="1"/>
  <c r="W139" i="2" s="1"/>
  <c r="X139" i="2" s="1"/>
  <c r="AD204" i="2"/>
  <c r="AE208" i="2"/>
  <c r="AH241" i="2"/>
  <c r="AG278" i="2"/>
  <c r="U324" i="2"/>
  <c r="V324" i="2" s="1"/>
  <c r="W324" i="2" s="1"/>
  <c r="X324" i="2" s="1"/>
  <c r="AH336" i="2"/>
  <c r="AD381" i="2"/>
  <c r="AH804" i="2"/>
  <c r="U804" i="2"/>
  <c r="V804" i="2" s="1"/>
  <c r="W804" i="2" s="1"/>
  <c r="X804" i="2" s="1"/>
  <c r="AH947" i="2"/>
  <c r="U1009" i="2"/>
  <c r="V1009" i="2" s="1"/>
  <c r="W1009" i="2" s="1"/>
  <c r="X1009" i="2" s="1"/>
  <c r="U28" i="2"/>
  <c r="V28" i="2" s="1"/>
  <c r="W28" i="2" s="1"/>
  <c r="X28" i="2" s="1"/>
  <c r="AH61" i="2"/>
  <c r="U169" i="2"/>
  <c r="W169" i="2" s="1"/>
  <c r="U21" i="2"/>
  <c r="V21" i="2" s="1"/>
  <c r="W21" i="2" s="1"/>
  <c r="X21" i="2" s="1"/>
  <c r="AE32" i="2"/>
  <c r="U119" i="2"/>
  <c r="V119" i="2" s="1"/>
  <c r="W119" i="2" s="1"/>
  <c r="X119" i="2" s="1"/>
  <c r="U185" i="2"/>
  <c r="V185" i="2" s="1"/>
  <c r="W185" i="2" s="1"/>
  <c r="X185" i="2" s="1"/>
  <c r="U213" i="2"/>
  <c r="V213" i="2" s="1"/>
  <c r="W213" i="2" s="1"/>
  <c r="X213" i="2" s="1"/>
  <c r="AG243" i="2"/>
  <c r="AE35" i="2"/>
  <c r="AF39" i="2"/>
  <c r="U41" i="2"/>
  <c r="V41" i="2" s="1"/>
  <c r="AF48" i="2"/>
  <c r="U50" i="2"/>
  <c r="V50" i="2" s="1"/>
  <c r="W50" i="2" s="1"/>
  <c r="X50" i="2" s="1"/>
  <c r="AE59" i="2"/>
  <c r="U66" i="2"/>
  <c r="V66" i="2" s="1"/>
  <c r="W66" i="2" s="1"/>
  <c r="X66" i="2" s="1"/>
  <c r="AG90" i="2"/>
  <c r="AD141" i="2"/>
  <c r="AG206" i="2"/>
  <c r="AF208" i="2"/>
  <c r="AH256" i="2"/>
  <c r="U299" i="2"/>
  <c r="V299" i="2" s="1"/>
  <c r="W299" i="2" s="1"/>
  <c r="X299" i="2" s="1"/>
  <c r="AD1068" i="2"/>
  <c r="AH1130" i="2"/>
  <c r="AG1130" i="2"/>
  <c r="U270" i="2"/>
  <c r="V270" i="2" s="1"/>
  <c r="W270" i="2" s="1"/>
  <c r="U19" i="2"/>
  <c r="V19" i="2" s="1"/>
  <c r="AG24" i="2"/>
  <c r="AF43" i="2"/>
  <c r="AF64" i="2"/>
  <c r="AE73" i="2"/>
  <c r="U108" i="2"/>
  <c r="V108" i="2" s="1"/>
  <c r="W108" i="2" s="1"/>
  <c r="X108" i="2" s="1"/>
  <c r="AG153" i="2"/>
  <c r="U221" i="2"/>
  <c r="V221" i="2" s="1"/>
  <c r="W221" i="2" s="1"/>
  <c r="X221" i="2" s="1"/>
  <c r="AF227" i="2"/>
  <c r="AE266" i="2"/>
  <c r="AG546" i="2"/>
  <c r="U718" i="2"/>
  <c r="V718" i="2" s="1"/>
  <c r="W718" i="2" s="1"/>
  <c r="X718" i="2" s="1"/>
  <c r="U786" i="2"/>
  <c r="V786" i="2" s="1"/>
  <c r="W786" i="2" s="1"/>
  <c r="X786" i="2" s="1"/>
  <c r="AH786" i="2"/>
  <c r="U1118" i="2"/>
  <c r="V1118" i="2" s="1"/>
  <c r="AH662" i="2"/>
  <c r="AG662" i="2"/>
  <c r="AF662" i="2"/>
  <c r="E20" i="1"/>
  <c r="AH132" i="2"/>
  <c r="AD174" i="2"/>
  <c r="AE176" i="2"/>
  <c r="AH183" i="2"/>
  <c r="AH188" i="2"/>
  <c r="AK188" i="2" s="1"/>
  <c r="AL188" i="2" s="1"/>
  <c r="AM188" i="2" s="1"/>
  <c r="AN188" i="2" s="1"/>
  <c r="U190" i="2"/>
  <c r="V190" i="2" s="1"/>
  <c r="AD225" i="2"/>
  <c r="AF237" i="2"/>
  <c r="AG368" i="2"/>
  <c r="U368" i="2"/>
  <c r="V368" i="2" s="1"/>
  <c r="W368" i="2" s="1"/>
  <c r="X368" i="2" s="1"/>
  <c r="AG395" i="2"/>
  <c r="U395" i="2"/>
  <c r="V395" i="2" s="1"/>
  <c r="W395" i="2" s="1"/>
  <c r="X395" i="2" s="1"/>
  <c r="H14" i="1"/>
  <c r="AH53" i="2"/>
  <c r="AF62" i="2"/>
  <c r="AG66" i="2"/>
  <c r="AD84" i="2"/>
  <c r="U106" i="2"/>
  <c r="V106" i="2" s="1"/>
  <c r="W106" i="2" s="1"/>
  <c r="X106" i="2" s="1"/>
  <c r="AD155" i="2"/>
  <c r="AG179" i="2"/>
  <c r="AH193" i="2"/>
  <c r="AK193" i="2" s="1"/>
  <c r="AL193" i="2" s="1"/>
  <c r="AM193" i="2" s="1"/>
  <c r="AN193" i="2" s="1"/>
  <c r="AF225" i="2"/>
  <c r="AG228" i="2"/>
  <c r="AH249" i="2"/>
  <c r="AH259" i="2"/>
  <c r="AG259" i="2"/>
  <c r="AH348" i="2"/>
  <c r="AK348" i="2" s="1"/>
  <c r="AL348" i="2" s="1"/>
  <c r="AN348" i="2" s="1"/>
  <c r="AF363" i="2"/>
  <c r="U438" i="2"/>
  <c r="V438" i="2" s="1"/>
  <c r="W438" i="2" s="1"/>
  <c r="X438" i="2" s="1"/>
  <c r="AH544" i="2"/>
  <c r="U1055" i="2"/>
  <c r="V1055" i="2" s="1"/>
  <c r="W1055" i="2" s="1"/>
  <c r="X1055" i="2" s="1"/>
  <c r="AH1293" i="2"/>
  <c r="AE1293" i="2"/>
  <c r="AD1293" i="2"/>
  <c r="E13" i="1"/>
  <c r="AH12" i="2"/>
  <c r="U17" i="2"/>
  <c r="V17" i="2" s="1"/>
  <c r="W17" i="2" s="1"/>
  <c r="X17" i="2" s="1"/>
  <c r="U22" i="2"/>
  <c r="V22" i="2" s="1"/>
  <c r="W22" i="2" s="1"/>
  <c r="X22" i="2" s="1"/>
  <c r="U33" i="2"/>
  <c r="V33" i="2" s="1"/>
  <c r="W33" i="2" s="1"/>
  <c r="X33" i="2" s="1"/>
  <c r="AH35" i="2"/>
  <c r="AD48" i="2"/>
  <c r="AF60" i="2"/>
  <c r="U62" i="2"/>
  <c r="V62" i="2" s="1"/>
  <c r="W62" i="2" s="1"/>
  <c r="X62" i="2" s="1"/>
  <c r="U97" i="2"/>
  <c r="V97" i="2" s="1"/>
  <c r="W97" i="2" s="1"/>
  <c r="X97" i="2" s="1"/>
  <c r="U124" i="2"/>
  <c r="V124" i="2" s="1"/>
  <c r="W124" i="2" s="1"/>
  <c r="X124" i="2" s="1"/>
  <c r="U135" i="2"/>
  <c r="V135" i="2" s="1"/>
  <c r="W135" i="2" s="1"/>
  <c r="X135" i="2" s="1"/>
  <c r="U158" i="2"/>
  <c r="V158" i="2" s="1"/>
  <c r="U170" i="2"/>
  <c r="V170" i="2" s="1"/>
  <c r="AG172" i="2"/>
  <c r="U198" i="2"/>
  <c r="V198" i="2" s="1"/>
  <c r="W198" i="2" s="1"/>
  <c r="X198" i="2" s="1"/>
  <c r="U207" i="2"/>
  <c r="V207" i="2" s="1"/>
  <c r="W207" i="2" s="1"/>
  <c r="X207" i="2" s="1"/>
  <c r="AE304" i="2"/>
  <c r="U332" i="2"/>
  <c r="V332" i="2" s="1"/>
  <c r="W332" i="2" s="1"/>
  <c r="X332" i="2" s="1"/>
  <c r="AH436" i="2"/>
  <c r="AE620" i="2"/>
  <c r="AF848" i="2"/>
  <c r="U855" i="2"/>
  <c r="V855" i="2" s="1"/>
  <c r="W855" i="2" s="1"/>
  <c r="X855" i="2" s="1"/>
  <c r="AG927" i="2"/>
  <c r="AF5" i="2"/>
  <c r="AE24" i="2"/>
  <c r="AG46" i="2"/>
  <c r="AH124" i="2"/>
  <c r="AF146" i="2"/>
  <c r="AH153" i="2"/>
  <c r="AG190" i="2"/>
  <c r="AH279" i="2"/>
  <c r="AK279" i="2" s="1"/>
  <c r="AL279" i="2" s="1"/>
  <c r="AN279" i="2" s="1"/>
  <c r="AE309" i="2"/>
  <c r="AE312" i="2"/>
  <c r="AH319" i="2"/>
  <c r="AH1197" i="2"/>
  <c r="AG1197" i="2"/>
  <c r="AF92" i="2"/>
  <c r="U134" i="2"/>
  <c r="V134" i="2" s="1"/>
  <c r="W134" i="2" s="1"/>
  <c r="X134" i="2" s="1"/>
  <c r="AF166" i="2"/>
  <c r="AH17" i="2"/>
  <c r="AD31" i="2"/>
  <c r="AE51" i="2"/>
  <c r="AH58" i="2"/>
  <c r="AH89" i="2"/>
  <c r="AD93" i="2"/>
  <c r="AD97" i="2"/>
  <c r="U111" i="2"/>
  <c r="V111" i="2" s="1"/>
  <c r="AH122" i="2"/>
  <c r="AE160" i="2"/>
  <c r="AG163" i="2"/>
  <c r="AD188" i="2"/>
  <c r="AH198" i="2"/>
  <c r="AK198" i="2" s="1"/>
  <c r="AL198" i="2" s="1"/>
  <c r="AN198" i="2" s="1"/>
  <c r="U245" i="2"/>
  <c r="V245" i="2" s="1"/>
  <c r="W245" i="2" s="1"/>
  <c r="X245" i="2" s="1"/>
  <c r="AH283" i="2"/>
  <c r="U687" i="2"/>
  <c r="V687" i="2" s="1"/>
  <c r="AE911" i="2"/>
  <c r="AF1044" i="2"/>
  <c r="AF1175" i="2"/>
  <c r="U96" i="2"/>
  <c r="X96" i="2" s="1"/>
  <c r="E23" i="1"/>
  <c r="G7" i="1"/>
  <c r="AG201" i="2"/>
  <c r="AE540" i="2"/>
  <c r="AG540" i="2"/>
  <c r="H24" i="1"/>
  <c r="AG1273" i="2"/>
  <c r="AH1273" i="2"/>
  <c r="U20" i="2"/>
  <c r="V20" i="2" s="1"/>
  <c r="W20" i="2" s="1"/>
  <c r="X20" i="2" s="1"/>
  <c r="U25" i="2"/>
  <c r="V25" i="2" s="1"/>
  <c r="W25" i="2" s="1"/>
  <c r="X25" i="2" s="1"/>
  <c r="AG65" i="2"/>
  <c r="AH74" i="2"/>
  <c r="U87" i="2"/>
  <c r="V87" i="2" s="1"/>
  <c r="AH93" i="2"/>
  <c r="AH111" i="2"/>
  <c r="AG116" i="2"/>
  <c r="AH140" i="2"/>
  <c r="AK140" i="2" s="1"/>
  <c r="AL140" i="2" s="1"/>
  <c r="AM140" i="2" s="1"/>
  <c r="AN140" i="2" s="1"/>
  <c r="AH154" i="2"/>
  <c r="U175" i="2"/>
  <c r="V175" i="2" s="1"/>
  <c r="W175" i="2" s="1"/>
  <c r="X175" i="2" s="1"/>
  <c r="AD189" i="2"/>
  <c r="U217" i="2"/>
  <c r="V217" i="2" s="1"/>
  <c r="W217" i="2" s="1"/>
  <c r="X217" i="2" s="1"/>
  <c r="AE222" i="2"/>
  <c r="AG224" i="2"/>
  <c r="U231" i="2"/>
  <c r="V231" i="2" s="1"/>
  <c r="W231" i="2" s="1"/>
  <c r="X231" i="2" s="1"/>
  <c r="AF243" i="2"/>
  <c r="AG272" i="2"/>
  <c r="AF323" i="2"/>
  <c r="AE348" i="2"/>
  <c r="U416" i="2"/>
  <c r="V416" i="2" s="1"/>
  <c r="W416" i="2" s="1"/>
  <c r="X416" i="2" s="1"/>
  <c r="AH1031" i="2"/>
  <c r="AE1159" i="2"/>
  <c r="AH11" i="2"/>
  <c r="AD32" i="2"/>
  <c r="AH51" i="2"/>
  <c r="AE81" i="2"/>
  <c r="AG95" i="2"/>
  <c r="N8" i="1"/>
  <c r="AG138" i="2"/>
  <c r="H10" i="1"/>
  <c r="AE475" i="2"/>
  <c r="U475" i="2"/>
  <c r="V475" i="2" s="1"/>
  <c r="W475" i="2" s="1"/>
  <c r="X475" i="2" s="1"/>
  <c r="AG610" i="2"/>
  <c r="AH610" i="2"/>
  <c r="AE610" i="2"/>
  <c r="AF878" i="2"/>
  <c r="AE886" i="2"/>
  <c r="U886" i="2"/>
  <c r="V886" i="2" s="1"/>
  <c r="AH13" i="2"/>
  <c r="AH18" i="2"/>
  <c r="U34" i="2"/>
  <c r="V34" i="2" s="1"/>
  <c r="W34" i="2" s="1"/>
  <c r="X34" i="2" s="1"/>
  <c r="E9" i="1"/>
  <c r="AH180" i="2"/>
  <c r="U210" i="2"/>
  <c r="V210" i="2" s="1"/>
  <c r="W210" i="2" s="1"/>
  <c r="X210" i="2" s="1"/>
  <c r="AD245" i="2"/>
  <c r="AD279" i="2"/>
  <c r="AH310" i="2"/>
  <c r="U405" i="2"/>
  <c r="V405" i="2" s="1"/>
  <c r="W405" i="2" s="1"/>
  <c r="X405" i="2" s="1"/>
  <c r="AF405" i="2"/>
  <c r="AH592" i="2"/>
  <c r="U964" i="2"/>
  <c r="V964" i="2" s="1"/>
  <c r="W964" i="2" s="1"/>
  <c r="X964" i="2" s="1"/>
  <c r="AF964" i="2"/>
  <c r="AF1013" i="2"/>
  <c r="AH1168" i="2"/>
  <c r="AK1168" i="2" s="1"/>
  <c r="AL1168" i="2" s="1"/>
  <c r="AN1168" i="2" s="1"/>
  <c r="AH23" i="2"/>
  <c r="AF100" i="2"/>
  <c r="AE116" i="2"/>
  <c r="AD143" i="2"/>
  <c r="AD156" i="2"/>
  <c r="AG171" i="2"/>
  <c r="AH173" i="2"/>
  <c r="AF217" i="2"/>
  <c r="U239" i="2"/>
  <c r="V239" i="2" s="1"/>
  <c r="W239" i="2" s="1"/>
  <c r="X239" i="2" s="1"/>
  <c r="U243" i="2"/>
  <c r="V243" i="2" s="1"/>
  <c r="W243" i="2" s="1"/>
  <c r="X243" i="2" s="1"/>
  <c r="AH253" i="2"/>
  <c r="U284" i="2"/>
  <c r="V284" i="2" s="1"/>
  <c r="W284" i="2" s="1"/>
  <c r="X284" i="2" s="1"/>
  <c r="U291" i="2"/>
  <c r="V291" i="2" s="1"/>
  <c r="W291" i="2" s="1"/>
  <c r="X291" i="2" s="1"/>
  <c r="AH293" i="2"/>
  <c r="AF298" i="2"/>
  <c r="U466" i="2"/>
  <c r="V466" i="2" s="1"/>
  <c r="W466" i="2" s="1"/>
  <c r="X466" i="2" s="1"/>
  <c r="AF1159" i="2"/>
  <c r="AF1249" i="2"/>
  <c r="U348" i="2"/>
  <c r="V348" i="2" s="1"/>
  <c r="W348" i="2" s="1"/>
  <c r="X348" i="2" s="1"/>
  <c r="AG357" i="2"/>
  <c r="U370" i="2"/>
  <c r="V370" i="2" s="1"/>
  <c r="W370" i="2" s="1"/>
  <c r="X370" i="2" s="1"/>
  <c r="AD372" i="2"/>
  <c r="AF383" i="2"/>
  <c r="U403" i="2"/>
  <c r="V403" i="2" s="1"/>
  <c r="W403" i="2" s="1"/>
  <c r="X403" i="2" s="1"/>
  <c r="AD405" i="2"/>
  <c r="U451" i="2"/>
  <c r="V451" i="2" s="1"/>
  <c r="W451" i="2" s="1"/>
  <c r="X451" i="2" s="1"/>
  <c r="AG468" i="2"/>
  <c r="U477" i="2"/>
  <c r="V477" i="2" s="1"/>
  <c r="W477" i="2" s="1"/>
  <c r="X477" i="2" s="1"/>
  <c r="V479" i="2"/>
  <c r="W479" i="2" s="1"/>
  <c r="X479" i="2" s="1"/>
  <c r="AG481" i="2"/>
  <c r="AH490" i="2"/>
  <c r="AG501" i="2"/>
  <c r="AD522" i="2"/>
  <c r="AE586" i="2"/>
  <c r="AG592" i="2"/>
  <c r="U610" i="2"/>
  <c r="V610" i="2" s="1"/>
  <c r="AD623" i="2"/>
  <c r="AH647" i="2"/>
  <c r="U696" i="2"/>
  <c r="U727" i="2"/>
  <c r="V727" i="2" s="1"/>
  <c r="W727" i="2" s="1"/>
  <c r="X727" i="2" s="1"/>
  <c r="AD750" i="2"/>
  <c r="U768" i="2"/>
  <c r="V768" i="2" s="1"/>
  <c r="W768" i="2" s="1"/>
  <c r="X768" i="2" s="1"/>
  <c r="AG793" i="2"/>
  <c r="AE815" i="2"/>
  <c r="AE837" i="2"/>
  <c r="AF862" i="2"/>
  <c r="AD888" i="2"/>
  <c r="U918" i="2"/>
  <c r="U934" i="2"/>
  <c r="V934" i="2" s="1"/>
  <c r="W934" i="2" s="1"/>
  <c r="X934" i="2" s="1"/>
  <c r="AE977" i="2"/>
  <c r="AD998" i="2"/>
  <c r="U1007" i="2"/>
  <c r="V1007" i="2" s="1"/>
  <c r="W1007" i="2" s="1"/>
  <c r="X1007" i="2" s="1"/>
  <c r="U1040" i="2"/>
  <c r="X1040" i="2" s="1"/>
  <c r="AG1049" i="2"/>
  <c r="AG1085" i="2"/>
  <c r="AF1092" i="2"/>
  <c r="AE1098" i="2"/>
  <c r="U1123" i="2"/>
  <c r="V1123" i="2" s="1"/>
  <c r="W1123" i="2" s="1"/>
  <c r="X1123" i="2" s="1"/>
  <c r="U1128" i="2"/>
  <c r="V1128" i="2" s="1"/>
  <c r="W1128" i="2" s="1"/>
  <c r="X1128" i="2" s="1"/>
  <c r="U1150" i="2"/>
  <c r="V1150" i="2" s="1"/>
  <c r="W1150" i="2" s="1"/>
  <c r="X1150" i="2" s="1"/>
  <c r="U1157" i="2"/>
  <c r="V1157" i="2" s="1"/>
  <c r="W1157" i="2" s="1"/>
  <c r="X1157" i="2" s="1"/>
  <c r="AD1159" i="2"/>
  <c r="U1173" i="2"/>
  <c r="U1195" i="2"/>
  <c r="V1195" i="2" s="1"/>
  <c r="W1195" i="2" s="1"/>
  <c r="X1195" i="2" s="1"/>
  <c r="AH1202" i="2"/>
  <c r="U1236" i="2"/>
  <c r="X1236" i="2" s="1"/>
  <c r="U1247" i="2"/>
  <c r="V1247" i="2" s="1"/>
  <c r="W1247" i="2" s="1"/>
  <c r="X1247" i="2" s="1"/>
  <c r="U1284" i="2"/>
  <c r="W1284" i="2" s="1"/>
  <c r="U1293" i="2"/>
  <c r="V1293" i="2" s="1"/>
  <c r="W1293" i="2" s="1"/>
  <c r="X1293" i="2" s="1"/>
  <c r="AH1295" i="2"/>
  <c r="U1297" i="2"/>
  <c r="V1297" i="2" s="1"/>
  <c r="W1297" i="2" s="1"/>
  <c r="X1297" i="2" s="1"/>
  <c r="AH1306" i="2"/>
  <c r="AD229" i="2"/>
  <c r="AD248" i="2"/>
  <c r="AF355" i="2"/>
  <c r="AG381" i="2"/>
  <c r="U390" i="2"/>
  <c r="V390" i="2" s="1"/>
  <c r="U423" i="2"/>
  <c r="AD445" i="2"/>
  <c r="U447" i="2"/>
  <c r="V447" i="2" s="1"/>
  <c r="W447" i="2" s="1"/>
  <c r="X447" i="2" s="1"/>
  <c r="AH496" i="2"/>
  <c r="U501" i="2"/>
  <c r="V501" i="2" s="1"/>
  <c r="W501" i="2" s="1"/>
  <c r="X501" i="2" s="1"/>
  <c r="AF505" i="2"/>
  <c r="U529" i="2"/>
  <c r="V529" i="2" s="1"/>
  <c r="W529" i="2" s="1"/>
  <c r="AF577" i="2"/>
  <c r="AF582" i="2"/>
  <c r="U597" i="2"/>
  <c r="AE603" i="2"/>
  <c r="AG632" i="2"/>
  <c r="AD668" i="2"/>
  <c r="AF674" i="2"/>
  <c r="AF681" i="2"/>
  <c r="U683" i="2"/>
  <c r="V683" i="2" s="1"/>
  <c r="W683" i="2" s="1"/>
  <c r="X683" i="2" s="1"/>
  <c r="U694" i="2"/>
  <c r="V694" i="2" s="1"/>
  <c r="W694" i="2" s="1"/>
  <c r="X694" i="2" s="1"/>
  <c r="U716" i="2"/>
  <c r="V716" i="2" s="1"/>
  <c r="W716" i="2" s="1"/>
  <c r="X716" i="2" s="1"/>
  <c r="U755" i="2"/>
  <c r="V755" i="2" s="1"/>
  <c r="W755" i="2" s="1"/>
  <c r="X755" i="2" s="1"/>
  <c r="U775" i="2"/>
  <c r="V775" i="2" s="1"/>
  <c r="W775" i="2" s="1"/>
  <c r="X775" i="2" s="1"/>
  <c r="U793" i="2"/>
  <c r="V793" i="2" s="1"/>
  <c r="W793" i="2" s="1"/>
  <c r="X793" i="2" s="1"/>
  <c r="AD822" i="2"/>
  <c r="AF833" i="2"/>
  <c r="U844" i="2"/>
  <c r="V844" i="2" s="1"/>
  <c r="W844" i="2" s="1"/>
  <c r="X844" i="2" s="1"/>
  <c r="AH909" i="2"/>
  <c r="U925" i="2"/>
  <c r="V925" i="2" s="1"/>
  <c r="W925" i="2" s="1"/>
  <c r="X925" i="2" s="1"/>
  <c r="AD973" i="2"/>
  <c r="AH985" i="2"/>
  <c r="AH1018" i="2"/>
  <c r="U1047" i="2"/>
  <c r="V1047" i="2" s="1"/>
  <c r="W1047" i="2" s="1"/>
  <c r="X1047" i="2" s="1"/>
  <c r="AD1064" i="2"/>
  <c r="AF1098" i="2"/>
  <c r="U1116" i="2"/>
  <c r="V1116" i="2" s="1"/>
  <c r="W1116" i="2" s="1"/>
  <c r="X1116" i="2" s="1"/>
  <c r="U1164" i="2"/>
  <c r="V1164" i="2" s="1"/>
  <c r="W1164" i="2" s="1"/>
  <c r="X1164" i="2" s="1"/>
  <c r="U1178" i="2"/>
  <c r="V1178" i="2" s="1"/>
  <c r="W1178" i="2" s="1"/>
  <c r="X1178" i="2" s="1"/>
  <c r="AG1200" i="2"/>
  <c r="AE1214" i="2"/>
  <c r="U1225" i="2"/>
  <c r="V1225" i="2" s="1"/>
  <c r="W1225" i="2" s="1"/>
  <c r="X1225" i="2" s="1"/>
  <c r="AG416" i="2"/>
  <c r="AF436" i="2"/>
  <c r="AF460" i="2"/>
  <c r="AG479" i="2"/>
  <c r="AE518" i="2"/>
  <c r="AE538" i="2"/>
  <c r="AH612" i="2"/>
  <c r="AE638" i="2"/>
  <c r="AG672" i="2"/>
  <c r="AG687" i="2"/>
  <c r="AE718" i="2"/>
  <c r="AG727" i="2"/>
  <c r="AG806" i="2"/>
  <c r="AF888" i="2"/>
  <c r="AG895" i="2"/>
  <c r="AG904" i="2"/>
  <c r="AH930" i="2"/>
  <c r="AH952" i="2"/>
  <c r="AG996" i="2"/>
  <c r="AE1085" i="2"/>
  <c r="AG1096" i="2"/>
  <c r="U1121" i="2"/>
  <c r="V1121" i="2" s="1"/>
  <c r="W1121" i="2" s="1"/>
  <c r="X1121" i="2" s="1"/>
  <c r="AG1123" i="2"/>
  <c r="AE1171" i="2"/>
  <c r="U1183" i="2"/>
  <c r="V1183" i="2" s="1"/>
  <c r="W1183" i="2" s="1"/>
  <c r="X1183" i="2" s="1"/>
  <c r="U1217" i="2"/>
  <c r="V1217" i="2" s="1"/>
  <c r="W1217" i="2" s="1"/>
  <c r="X1217" i="2" s="1"/>
  <c r="U1265" i="2"/>
  <c r="V1265" i="2" s="1"/>
  <c r="W1265" i="2" s="1"/>
  <c r="X1265" i="2" s="1"/>
  <c r="AH1278" i="2"/>
  <c r="U1291" i="2"/>
  <c r="V1291" i="2" s="1"/>
  <c r="W1291" i="2" s="1"/>
  <c r="X1291" i="2" s="1"/>
  <c r="AH1302" i="2"/>
  <c r="AG344" i="2"/>
  <c r="AF362" i="2"/>
  <c r="AH384" i="2"/>
  <c r="U386" i="2"/>
  <c r="V386" i="2" s="1"/>
  <c r="W386" i="2" s="1"/>
  <c r="X386" i="2" s="1"/>
  <c r="U421" i="2"/>
  <c r="V421" i="2" s="1"/>
  <c r="AH458" i="2"/>
  <c r="AD503" i="2"/>
  <c r="U525" i="2"/>
  <c r="V525" i="2" s="1"/>
  <c r="W525" i="2" s="1"/>
  <c r="X525" i="2" s="1"/>
  <c r="AF580" i="2"/>
  <c r="U606" i="2"/>
  <c r="V606" i="2" s="1"/>
  <c r="AH666" i="2"/>
  <c r="AK666" i="2" s="1"/>
  <c r="AL666" i="2" s="1"/>
  <c r="AN666" i="2" s="1"/>
  <c r="AH679" i="2"/>
  <c r="AK679" i="2" s="1"/>
  <c r="AL679" i="2" s="1"/>
  <c r="AN679" i="2" s="1"/>
  <c r="U723" i="2"/>
  <c r="V723" i="2" s="1"/>
  <c r="W723" i="2" s="1"/>
  <c r="X723" i="2" s="1"/>
  <c r="AE725" i="2"/>
  <c r="AG742" i="2"/>
  <c r="U764" i="2"/>
  <c r="V764" i="2" s="1"/>
  <c r="U791" i="2"/>
  <c r="V791" i="2" s="1"/>
  <c r="W791" i="2" s="1"/>
  <c r="X791" i="2" s="1"/>
  <c r="AH809" i="2"/>
  <c r="U813" i="2"/>
  <c r="V813" i="2" s="1"/>
  <c r="W813" i="2" s="1"/>
  <c r="X813" i="2" s="1"/>
  <c r="AD842" i="2"/>
  <c r="U865" i="2"/>
  <c r="V865" i="2" s="1"/>
  <c r="W865" i="2" s="1"/>
  <c r="X865" i="2" s="1"/>
  <c r="AH870" i="2"/>
  <c r="AH891" i="2"/>
  <c r="AF914" i="2"/>
  <c r="AD946" i="2"/>
  <c r="AF948" i="2"/>
  <c r="AG954" i="2"/>
  <c r="AH971" i="2"/>
  <c r="AH1014" i="2"/>
  <c r="AG1034" i="2"/>
  <c r="AD1038" i="2"/>
  <c r="U1045" i="2"/>
  <c r="V1045" i="2" s="1"/>
  <c r="W1045" i="2" s="1"/>
  <c r="X1045" i="2" s="1"/>
  <c r="AH1047" i="2"/>
  <c r="U1062" i="2"/>
  <c r="V1062" i="2" s="1"/>
  <c r="W1062" i="2" s="1"/>
  <c r="X1062" i="2" s="1"/>
  <c r="AE1111" i="2"/>
  <c r="AD1126" i="2"/>
  <c r="AH1176" i="2"/>
  <c r="AG1181" i="2"/>
  <c r="U1188" i="2"/>
  <c r="V1188" i="2" s="1"/>
  <c r="W1188" i="2" s="1"/>
  <c r="X1188" i="2" s="1"/>
  <c r="U1193" i="2"/>
  <c r="V1193" i="2" s="1"/>
  <c r="W1193" i="2" s="1"/>
  <c r="X1193" i="2" s="1"/>
  <c r="AE1212" i="2"/>
  <c r="U1243" i="2"/>
  <c r="V1243" i="2" s="1"/>
  <c r="W1243" i="2" s="1"/>
  <c r="X1243" i="2" s="1"/>
  <c r="AG1254" i="2"/>
  <c r="U833" i="2"/>
  <c r="V833" i="2" s="1"/>
  <c r="W833" i="2" s="1"/>
  <c r="X833" i="2" s="1"/>
  <c r="AG838" i="2"/>
  <c r="AD865" i="2"/>
  <c r="AG960" i="2"/>
  <c r="AH1217" i="2"/>
  <c r="U1232" i="2"/>
  <c r="V1232" i="2" s="1"/>
  <c r="W1232" i="2" s="1"/>
  <c r="X1232" i="2" s="1"/>
  <c r="AE1236" i="2"/>
  <c r="U1263" i="2"/>
  <c r="V1263" i="2" s="1"/>
  <c r="W1263" i="2" s="1"/>
  <c r="X1263" i="2" s="1"/>
  <c r="AG1291" i="2"/>
  <c r="AG360" i="2"/>
  <c r="U373" i="2"/>
  <c r="V373" i="2" s="1"/>
  <c r="W373" i="2" s="1"/>
  <c r="X373" i="2" s="1"/>
  <c r="AF410" i="2"/>
  <c r="AE439" i="2"/>
  <c r="AG454" i="2"/>
  <c r="AH467" i="2"/>
  <c r="AF484" i="2"/>
  <c r="U497" i="2"/>
  <c r="V497" i="2" s="1"/>
  <c r="W497" i="2" s="1"/>
  <c r="X497" i="2" s="1"/>
  <c r="AF501" i="2"/>
  <c r="AH506" i="2"/>
  <c r="U545" i="2"/>
  <c r="V545" i="2" s="1"/>
  <c r="W545" i="2" s="1"/>
  <c r="X545" i="2" s="1"/>
  <c r="AF554" i="2"/>
  <c r="AG560" i="2"/>
  <c r="AH586" i="2"/>
  <c r="U593" i="2"/>
  <c r="V593" i="2" s="1"/>
  <c r="W593" i="2" s="1"/>
  <c r="X593" i="2" s="1"/>
  <c r="AD621" i="2"/>
  <c r="AG641" i="2"/>
  <c r="AH652" i="2"/>
  <c r="U654" i="2"/>
  <c r="V654" i="2" s="1"/>
  <c r="W654" i="2" s="1"/>
  <c r="X654" i="2" s="1"/>
  <c r="AF665" i="2"/>
  <c r="U677" i="2"/>
  <c r="V677" i="2" s="1"/>
  <c r="W677" i="2" s="1"/>
  <c r="X677" i="2" s="1"/>
  <c r="U690" i="2"/>
  <c r="V690" i="2" s="1"/>
  <c r="W690" i="2" s="1"/>
  <c r="X690" i="2" s="1"/>
  <c r="AD732" i="2"/>
  <c r="AH738" i="2"/>
  <c r="U751" i="2"/>
  <c r="V751" i="2" s="1"/>
  <c r="U760" i="2"/>
  <c r="V760" i="2" s="1"/>
  <c r="W760" i="2" s="1"/>
  <c r="X760" i="2" s="1"/>
  <c r="U762" i="2"/>
  <c r="V762" i="2" s="1"/>
  <c r="W762" i="2" s="1"/>
  <c r="X762" i="2" s="1"/>
  <c r="AD796" i="2"/>
  <c r="AE800" i="2"/>
  <c r="U849" i="2"/>
  <c r="V849" i="2" s="1"/>
  <c r="W849" i="2" s="1"/>
  <c r="X849" i="2" s="1"/>
  <c r="U898" i="2"/>
  <c r="V898" i="2" s="1"/>
  <c r="W898" i="2" s="1"/>
  <c r="X898" i="2" s="1"/>
  <c r="U921" i="2"/>
  <c r="V921" i="2" s="1"/>
  <c r="W921" i="2" s="1"/>
  <c r="X921" i="2" s="1"/>
  <c r="U950" i="2"/>
  <c r="V950" i="2" s="1"/>
  <c r="W950" i="2" s="1"/>
  <c r="X950" i="2" s="1"/>
  <c r="U967" i="2"/>
  <c r="V967" i="2" s="1"/>
  <c r="W967" i="2" s="1"/>
  <c r="X967" i="2" s="1"/>
  <c r="U1012" i="2"/>
  <c r="V1012" i="2" s="1"/>
  <c r="W1012" i="2" s="1"/>
  <c r="X1012" i="2" s="1"/>
  <c r="AH1056" i="2"/>
  <c r="AH1267" i="2"/>
  <c r="AD1304" i="2"/>
  <c r="U240" i="2"/>
  <c r="AF256" i="2"/>
  <c r="AG280" i="2"/>
  <c r="U282" i="2"/>
  <c r="V282" i="2" s="1"/>
  <c r="W282" i="2" s="1"/>
  <c r="X282" i="2" s="1"/>
  <c r="AG286" i="2"/>
  <c r="U296" i="2"/>
  <c r="V296" i="2" s="1"/>
  <c r="AG308" i="2"/>
  <c r="AF313" i="2"/>
  <c r="U326" i="2"/>
  <c r="V326" i="2" s="1"/>
  <c r="W326" i="2" s="1"/>
  <c r="X326" i="2" s="1"/>
  <c r="U342" i="2"/>
  <c r="V342" i="2" s="1"/>
  <c r="W342" i="2" s="1"/>
  <c r="X342" i="2" s="1"/>
  <c r="U351" i="2"/>
  <c r="V351" i="2" s="1"/>
  <c r="W351" i="2" s="1"/>
  <c r="X351" i="2" s="1"/>
  <c r="U393" i="2"/>
  <c r="V393" i="2" s="1"/>
  <c r="W393" i="2" s="1"/>
  <c r="X393" i="2" s="1"/>
  <c r="U406" i="2"/>
  <c r="V406" i="2" s="1"/>
  <c r="W406" i="2" s="1"/>
  <c r="X406" i="2" s="1"/>
  <c r="U439" i="2"/>
  <c r="V439" i="2" s="1"/>
  <c r="AG445" i="2"/>
  <c r="AH454" i="2"/>
  <c r="U456" i="2"/>
  <c r="AH482" i="2"/>
  <c r="AH486" i="2"/>
  <c r="AE490" i="2"/>
  <c r="AF495" i="2"/>
  <c r="AH501" i="2"/>
  <c r="AH512" i="2"/>
  <c r="AF558" i="2"/>
  <c r="AH576" i="2"/>
  <c r="U619" i="2"/>
  <c r="AH628" i="2"/>
  <c r="AG630" i="2"/>
  <c r="U650" i="2"/>
  <c r="V650" i="2" s="1"/>
  <c r="W650" i="2" s="1"/>
  <c r="X650" i="2" s="1"/>
  <c r="U652" i="2"/>
  <c r="V652" i="2" s="1"/>
  <c r="W652" i="2" s="1"/>
  <c r="X652" i="2" s="1"/>
  <c r="U665" i="2"/>
  <c r="V665" i="2" s="1"/>
  <c r="W665" i="2" s="1"/>
  <c r="X665" i="2" s="1"/>
  <c r="U675" i="2"/>
  <c r="V675" i="2" s="1"/>
  <c r="W675" i="2" s="1"/>
  <c r="X675" i="2" s="1"/>
  <c r="AH712" i="2"/>
  <c r="AE719" i="2"/>
  <c r="U732" i="2"/>
  <c r="V732" i="2" s="1"/>
  <c r="AF740" i="2"/>
  <c r="U796" i="2"/>
  <c r="V796" i="2" s="1"/>
  <c r="W796" i="2" s="1"/>
  <c r="X796" i="2" s="1"/>
  <c r="U807" i="2"/>
  <c r="V807" i="2" s="1"/>
  <c r="W807" i="2" s="1"/>
  <c r="X807" i="2" s="1"/>
  <c r="AF825" i="2"/>
  <c r="AF849" i="2"/>
  <c r="U856" i="2"/>
  <c r="V856" i="2" s="1"/>
  <c r="W856" i="2" s="1"/>
  <c r="X856" i="2" s="1"/>
  <c r="AF865" i="2"/>
  <c r="AH885" i="2"/>
  <c r="AK885" i="2" s="1"/>
  <c r="AL885" i="2" s="1"/>
  <c r="AN885" i="2" s="1"/>
  <c r="AG896" i="2"/>
  <c r="AH919" i="2"/>
  <c r="U928" i="2"/>
  <c r="V928" i="2" s="1"/>
  <c r="W928" i="2" s="1"/>
  <c r="X928" i="2" s="1"/>
  <c r="AH935" i="2"/>
  <c r="AK935" i="2" s="1"/>
  <c r="AL935" i="2" s="1"/>
  <c r="AN935" i="2" s="1"/>
  <c r="U944" i="2"/>
  <c r="V944" i="2" s="1"/>
  <c r="W944" i="2" s="1"/>
  <c r="X944" i="2" s="1"/>
  <c r="AH963" i="2"/>
  <c r="AE976" i="2"/>
  <c r="U1001" i="2"/>
  <c r="V1001" i="2" s="1"/>
  <c r="AG1010" i="2"/>
  <c r="AF1060" i="2"/>
  <c r="U1071" i="2"/>
  <c r="V1071" i="2" s="1"/>
  <c r="W1071" i="2" s="1"/>
  <c r="X1071" i="2" s="1"/>
  <c r="U1086" i="2"/>
  <c r="V1086" i="2" s="1"/>
  <c r="W1086" i="2" s="1"/>
  <c r="X1086" i="2" s="1"/>
  <c r="U1099" i="2"/>
  <c r="V1099" i="2" s="1"/>
  <c r="W1099" i="2" s="1"/>
  <c r="X1099" i="2" s="1"/>
  <c r="AG1109" i="2"/>
  <c r="U1124" i="2"/>
  <c r="V1124" i="2" s="1"/>
  <c r="W1124" i="2" s="1"/>
  <c r="X1124" i="2" s="1"/>
  <c r="AH1151" i="2"/>
  <c r="U1169" i="2"/>
  <c r="V1169" i="2" s="1"/>
  <c r="W1169" i="2" s="1"/>
  <c r="X1169" i="2" s="1"/>
  <c r="AH1179" i="2"/>
  <c r="AK1179" i="2" s="1"/>
  <c r="AL1179" i="2" s="1"/>
  <c r="AN1179" i="2" s="1"/>
  <c r="AD1181" i="2"/>
  <c r="AH1200" i="2"/>
  <c r="AH1230" i="2"/>
  <c r="AE1232" i="2"/>
  <c r="AF1248" i="2"/>
  <c r="U1261" i="2"/>
  <c r="V1261" i="2" s="1"/>
  <c r="W1261" i="2" s="1"/>
  <c r="X1261" i="2" s="1"/>
  <c r="AH389" i="2"/>
  <c r="AK389" i="2" s="1"/>
  <c r="AL389" i="2" s="1"/>
  <c r="AN389" i="2" s="1"/>
  <c r="AH391" i="2"/>
  <c r="AK391" i="2" s="1"/>
  <c r="AL391" i="2" s="1"/>
  <c r="AN391" i="2" s="1"/>
  <c r="AH395" i="2"/>
  <c r="AK395" i="2" s="1"/>
  <c r="AL395" i="2" s="1"/>
  <c r="AN395" i="2" s="1"/>
  <c r="AG413" i="2"/>
  <c r="AH437" i="2"/>
  <c r="AE460" i="2"/>
  <c r="AD484" i="2"/>
  <c r="AD497" i="2"/>
  <c r="AG504" i="2"/>
  <c r="AH534" i="2"/>
  <c r="AD677" i="2"/>
  <c r="AD747" i="2"/>
  <c r="AG762" i="2"/>
  <c r="AF771" i="2"/>
  <c r="AD840" i="2"/>
  <c r="AD898" i="2"/>
  <c r="AH921" i="2"/>
  <c r="AD952" i="2"/>
  <c r="AD983" i="2"/>
  <c r="AE1001" i="2"/>
  <c r="AG1012" i="2"/>
  <c r="AG1073" i="2"/>
  <c r="AD1165" i="2"/>
  <c r="AG1171" i="2"/>
  <c r="AG1296" i="2"/>
  <c r="AG1298" i="2"/>
  <c r="AH1300" i="2"/>
  <c r="AH240" i="2"/>
  <c r="U247" i="2"/>
  <c r="V247" i="2" s="1"/>
  <c r="W247" i="2" s="1"/>
  <c r="X247" i="2" s="1"/>
  <c r="U301" i="2"/>
  <c r="V301" i="2" s="1"/>
  <c r="W301" i="2" s="1"/>
  <c r="X301" i="2" s="1"/>
  <c r="U380" i="2"/>
  <c r="V380" i="2" s="1"/>
  <c r="W380" i="2" s="1"/>
  <c r="X380" i="2" s="1"/>
  <c r="AG384" i="2"/>
  <c r="AH400" i="2"/>
  <c r="AK400" i="2" s="1"/>
  <c r="AL400" i="2" s="1"/>
  <c r="AN400" i="2" s="1"/>
  <c r="AF408" i="2"/>
  <c r="U415" i="2"/>
  <c r="V415" i="2" s="1"/>
  <c r="W415" i="2" s="1"/>
  <c r="X415" i="2" s="1"/>
  <c r="AH417" i="2"/>
  <c r="U424" i="2"/>
  <c r="V424" i="2" s="1"/>
  <c r="W424" i="2" s="1"/>
  <c r="X424" i="2" s="1"/>
  <c r="AD433" i="2"/>
  <c r="U435" i="2"/>
  <c r="V435" i="2" s="1"/>
  <c r="W435" i="2" s="1"/>
  <c r="X435" i="2" s="1"/>
  <c r="U437" i="2"/>
  <c r="V437" i="2" s="1"/>
  <c r="W437" i="2" s="1"/>
  <c r="X437" i="2" s="1"/>
  <c r="AH456" i="2"/>
  <c r="AF458" i="2"/>
  <c r="AG463" i="2"/>
  <c r="AF512" i="2"/>
  <c r="AH517" i="2"/>
  <c r="AG547" i="2"/>
  <c r="AG556" i="2"/>
  <c r="U574" i="2"/>
  <c r="V574" i="2" s="1"/>
  <c r="W574" i="2" s="1"/>
  <c r="X574" i="2" s="1"/>
  <c r="U639" i="2"/>
  <c r="V639" i="2" s="1"/>
  <c r="W639" i="2" s="1"/>
  <c r="X639" i="2" s="1"/>
  <c r="U648" i="2"/>
  <c r="V648" i="2" s="1"/>
  <c r="W648" i="2" s="1"/>
  <c r="X648" i="2" s="1"/>
  <c r="AD669" i="2"/>
  <c r="AE671" i="2"/>
  <c r="U673" i="2"/>
  <c r="V673" i="2" s="1"/>
  <c r="W673" i="2" s="1"/>
  <c r="X673" i="2" s="1"/>
  <c r="AG675" i="2"/>
  <c r="U695" i="2"/>
  <c r="V695" i="2" s="1"/>
  <c r="W695" i="2" s="1"/>
  <c r="X695" i="2" s="1"/>
  <c r="U715" i="2"/>
  <c r="V715" i="2" s="1"/>
  <c r="W715" i="2" s="1"/>
  <c r="X715" i="2" s="1"/>
  <c r="U728" i="2"/>
  <c r="V728" i="2" s="1"/>
  <c r="W728" i="2" s="1"/>
  <c r="X728" i="2" s="1"/>
  <c r="AG760" i="2"/>
  <c r="U776" i="2"/>
  <c r="V776" i="2" s="1"/>
  <c r="W776" i="2" s="1"/>
  <c r="X776" i="2" s="1"/>
  <c r="AG778" i="2"/>
  <c r="AH807" i="2"/>
  <c r="AF827" i="2"/>
  <c r="AG840" i="2"/>
  <c r="AE875" i="2"/>
  <c r="AD901" i="2"/>
  <c r="AG917" i="2"/>
  <c r="AG924" i="2"/>
  <c r="U926" i="2"/>
  <c r="V926" i="2" s="1"/>
  <c r="AH946" i="2"/>
  <c r="AD948" i="2"/>
  <c r="AD950" i="2"/>
  <c r="AE952" i="2"/>
  <c r="U983" i="2"/>
  <c r="V983" i="2" s="1"/>
  <c r="W983" i="2" s="1"/>
  <c r="X983" i="2" s="1"/>
  <c r="AH999" i="2"/>
  <c r="AG1014" i="2"/>
  <c r="AH1019" i="2"/>
  <c r="AE1028" i="2"/>
  <c r="U1030" i="2"/>
  <c r="V1030" i="2" s="1"/>
  <c r="U1048" i="2"/>
  <c r="V1048" i="2" s="1"/>
  <c r="W1048" i="2" s="1"/>
  <c r="X1048" i="2" s="1"/>
  <c r="U1065" i="2"/>
  <c r="V1065" i="2" s="1"/>
  <c r="W1065" i="2" s="1"/>
  <c r="X1065" i="2" s="1"/>
  <c r="AE1071" i="2"/>
  <c r="U1093" i="2"/>
  <c r="X1093" i="2" s="1"/>
  <c r="U1112" i="2"/>
  <c r="V1112" i="2" s="1"/>
  <c r="W1112" i="2" s="1"/>
  <c r="X1112" i="2" s="1"/>
  <c r="AE1127" i="2"/>
  <c r="U1134" i="2"/>
  <c r="V1134" i="2" s="1"/>
  <c r="W1134" i="2" s="1"/>
  <c r="X1134" i="2" s="1"/>
  <c r="U1146" i="2"/>
  <c r="V1146" i="2" s="1"/>
  <c r="W1146" i="2" s="1"/>
  <c r="X1146" i="2" s="1"/>
  <c r="AD1169" i="2"/>
  <c r="AH1181" i="2"/>
  <c r="AF1191" i="2"/>
  <c r="AE1201" i="2"/>
  <c r="AH1213" i="2"/>
  <c r="U1226" i="2"/>
  <c r="V1226" i="2" s="1"/>
  <c r="W1226" i="2" s="1"/>
  <c r="X1226" i="2" s="1"/>
  <c r="U1246" i="2"/>
  <c r="V1246" i="2" s="1"/>
  <c r="W1246" i="2" s="1"/>
  <c r="X1246" i="2" s="1"/>
  <c r="U1307" i="2"/>
  <c r="V1307" i="2" s="1"/>
  <c r="W1307" i="2" s="1"/>
  <c r="X1307" i="2" s="1"/>
  <c r="AG517" i="2"/>
  <c r="AD699" i="2"/>
  <c r="AD734" i="2"/>
  <c r="AE948" i="2"/>
  <c r="AD986" i="2"/>
  <c r="AH1127" i="2"/>
  <c r="AH1184" i="2"/>
  <c r="AE1283" i="2"/>
  <c r="U376" i="2"/>
  <c r="V376" i="2" s="1"/>
  <c r="W376" i="2" s="1"/>
  <c r="U387" i="2"/>
  <c r="V387" i="2" s="1"/>
  <c r="W387" i="2" s="1"/>
  <c r="X387" i="2" s="1"/>
  <c r="U411" i="2"/>
  <c r="V411" i="2" s="1"/>
  <c r="W411" i="2" s="1"/>
  <c r="X411" i="2" s="1"/>
  <c r="U422" i="2"/>
  <c r="V422" i="2" s="1"/>
  <c r="W422" i="2" s="1"/>
  <c r="X422" i="2" s="1"/>
  <c r="AE444" i="2"/>
  <c r="AG465" i="2"/>
  <c r="AG470" i="2"/>
  <c r="U550" i="2"/>
  <c r="V550" i="2" s="1"/>
  <c r="W550" i="2" s="1"/>
  <c r="X550" i="2" s="1"/>
  <c r="U559" i="2"/>
  <c r="V559" i="2" s="1"/>
  <c r="W559" i="2" s="1"/>
  <c r="X559" i="2" s="1"/>
  <c r="U561" i="2"/>
  <c r="V561" i="2" s="1"/>
  <c r="W561" i="2" s="1"/>
  <c r="X561" i="2" s="1"/>
  <c r="AE570" i="2"/>
  <c r="U596" i="2"/>
  <c r="AF607" i="2"/>
  <c r="AG646" i="2"/>
  <c r="AG695" i="2"/>
  <c r="U713" i="2"/>
  <c r="V713" i="2" s="1"/>
  <c r="AE734" i="2"/>
  <c r="U741" i="2"/>
  <c r="V741" i="2" s="1"/>
  <c r="W741" i="2" s="1"/>
  <c r="X741" i="2" s="1"/>
  <c r="U765" i="2"/>
  <c r="V765" i="2" s="1"/>
  <c r="W765" i="2" s="1"/>
  <c r="X765" i="2" s="1"/>
  <c r="AG767" i="2"/>
  <c r="U774" i="2"/>
  <c r="V774" i="2" s="1"/>
  <c r="W774" i="2" s="1"/>
  <c r="X774" i="2" s="1"/>
  <c r="AF805" i="2"/>
  <c r="AD812" i="2"/>
  <c r="AE816" i="2"/>
  <c r="AD827" i="2"/>
  <c r="AF832" i="2"/>
  <c r="AH838" i="2"/>
  <c r="U843" i="2"/>
  <c r="AE845" i="2"/>
  <c r="U859" i="2"/>
  <c r="V859" i="2" s="1"/>
  <c r="W859" i="2" s="1"/>
  <c r="X859" i="2" s="1"/>
  <c r="U866" i="2"/>
  <c r="V866" i="2" s="1"/>
  <c r="W866" i="2" s="1"/>
  <c r="X866" i="2" s="1"/>
  <c r="AD875" i="2"/>
  <c r="AD887" i="2"/>
  <c r="AG915" i="2"/>
  <c r="U940" i="2"/>
  <c r="V940" i="2" s="1"/>
  <c r="W940" i="2" s="1"/>
  <c r="X940" i="2" s="1"/>
  <c r="U981" i="2"/>
  <c r="V981" i="2" s="1"/>
  <c r="W981" i="2" s="1"/>
  <c r="X981" i="2" s="1"/>
  <c r="AH989" i="2"/>
  <c r="U1017" i="2"/>
  <c r="U1046" i="2"/>
  <c r="V1046" i="2" s="1"/>
  <c r="W1046" i="2" s="1"/>
  <c r="X1046" i="2" s="1"/>
  <c r="AD1052" i="2"/>
  <c r="U1063" i="2"/>
  <c r="V1063" i="2" s="1"/>
  <c r="W1063" i="2" s="1"/>
  <c r="X1063" i="2" s="1"/>
  <c r="U1076" i="2"/>
  <c r="V1076" i="2" s="1"/>
  <c r="W1076" i="2" s="1"/>
  <c r="X1076" i="2" s="1"/>
  <c r="AH1078" i="2"/>
  <c r="U1080" i="2"/>
  <c r="X1080" i="2" s="1"/>
  <c r="AD1095" i="2"/>
  <c r="AH1132" i="2"/>
  <c r="AE1154" i="2"/>
  <c r="U1172" i="2"/>
  <c r="V1172" i="2" s="1"/>
  <c r="W1172" i="2" s="1"/>
  <c r="X1172" i="2" s="1"/>
  <c r="U1189" i="2"/>
  <c r="V1189" i="2" s="1"/>
  <c r="W1189" i="2" s="1"/>
  <c r="X1189" i="2" s="1"/>
  <c r="U1194" i="2"/>
  <c r="V1194" i="2" s="1"/>
  <c r="W1194" i="2" s="1"/>
  <c r="X1194" i="2" s="1"/>
  <c r="AH1199" i="2"/>
  <c r="U1211" i="2"/>
  <c r="V1211" i="2" s="1"/>
  <c r="W1211" i="2" s="1"/>
  <c r="X1211" i="2" s="1"/>
  <c r="AD1213" i="2"/>
  <c r="U1244" i="2"/>
  <c r="V1244" i="2" s="1"/>
  <c r="W1244" i="2" s="1"/>
  <c r="X1244" i="2" s="1"/>
  <c r="AD1248" i="2"/>
  <c r="AG1259" i="2"/>
  <c r="AG1264" i="2"/>
  <c r="U1268" i="2"/>
  <c r="V1268" i="2" s="1"/>
  <c r="W1268" i="2" s="1"/>
  <c r="X1268" i="2" s="1"/>
  <c r="U1279" i="2"/>
  <c r="V1279" i="2" s="1"/>
  <c r="AH1281" i="2"/>
  <c r="AG1290" i="2"/>
  <c r="AH1303" i="2"/>
  <c r="U1305" i="2"/>
  <c r="V1305" i="2" s="1"/>
  <c r="W1305" i="2" s="1"/>
  <c r="X1305" i="2" s="1"/>
  <c r="AF592" i="2"/>
  <c r="AH605" i="2"/>
  <c r="AE702" i="2"/>
  <c r="AD763" i="2"/>
  <c r="AF803" i="2"/>
  <c r="AG899" i="2"/>
  <c r="AG1013" i="2"/>
  <c r="AD1098" i="2"/>
  <c r="AE1120" i="2"/>
  <c r="AG1175" i="2"/>
  <c r="AH1182" i="2"/>
  <c r="AG1235" i="2"/>
  <c r="AH1242" i="2"/>
  <c r="U1264" i="2"/>
  <c r="V1264" i="2" s="1"/>
  <c r="W1264" i="2" s="1"/>
  <c r="X1264" i="2" s="1"/>
  <c r="AG1283" i="2"/>
  <c r="AE1296" i="2"/>
  <c r="AE280" i="2"/>
  <c r="U336" i="2"/>
  <c r="V336" i="2" s="1"/>
  <c r="W336" i="2" s="1"/>
  <c r="X336" i="2" s="1"/>
  <c r="AD356" i="2"/>
  <c r="AF400" i="2"/>
  <c r="U420" i="2"/>
  <c r="V420" i="2" s="1"/>
  <c r="W420" i="2" s="1"/>
  <c r="X420" i="2" s="1"/>
  <c r="AD427" i="2"/>
  <c r="AG455" i="2"/>
  <c r="U483" i="2"/>
  <c r="V483" i="2" s="1"/>
  <c r="W483" i="2" s="1"/>
  <c r="X483" i="2" s="1"/>
  <c r="U498" i="2"/>
  <c r="V498" i="2" s="1"/>
  <c r="W498" i="2" s="1"/>
  <c r="X498" i="2" s="1"/>
  <c r="AF511" i="2"/>
  <c r="U513" i="2"/>
  <c r="V513" i="2" s="1"/>
  <c r="W513" i="2" s="1"/>
  <c r="X513" i="2" s="1"/>
  <c r="AG522" i="2"/>
  <c r="U524" i="2"/>
  <c r="V524" i="2" s="1"/>
  <c r="W524" i="2" s="1"/>
  <c r="X524" i="2" s="1"/>
  <c r="U548" i="2"/>
  <c r="V548" i="2" s="1"/>
  <c r="U620" i="2"/>
  <c r="V620" i="2" s="1"/>
  <c r="W620" i="2" s="1"/>
  <c r="X620" i="2" s="1"/>
  <c r="U629" i="2"/>
  <c r="V629" i="2" s="1"/>
  <c r="W629" i="2" s="1"/>
  <c r="X629" i="2" s="1"/>
  <c r="U655" i="2"/>
  <c r="AH700" i="2"/>
  <c r="AK700" i="2" s="1"/>
  <c r="AL700" i="2" s="1"/>
  <c r="AN700" i="2" s="1"/>
  <c r="U722" i="2"/>
  <c r="V722" i="2" s="1"/>
  <c r="W722" i="2" s="1"/>
  <c r="X722" i="2" s="1"/>
  <c r="U790" i="2"/>
  <c r="V790" i="2" s="1"/>
  <c r="W790" i="2" s="1"/>
  <c r="X790" i="2" s="1"/>
  <c r="U799" i="2"/>
  <c r="AH801" i="2"/>
  <c r="U810" i="2"/>
  <c r="V810" i="2" s="1"/>
  <c r="W810" i="2" s="1"/>
  <c r="AE834" i="2"/>
  <c r="AH843" i="2"/>
  <c r="U848" i="2"/>
  <c r="V848" i="2" s="1"/>
  <c r="W848" i="2" s="1"/>
  <c r="X848" i="2" s="1"/>
  <c r="AH852" i="2"/>
  <c r="AD859" i="2"/>
  <c r="AD869" i="2"/>
  <c r="AH913" i="2"/>
  <c r="U922" i="2"/>
  <c r="V922" i="2" s="1"/>
  <c r="W922" i="2" s="1"/>
  <c r="X922" i="2" s="1"/>
  <c r="U929" i="2"/>
  <c r="V929" i="2" s="1"/>
  <c r="W929" i="2" s="1"/>
  <c r="X929" i="2" s="1"/>
  <c r="U953" i="2"/>
  <c r="V953" i="2" s="1"/>
  <c r="W953" i="2" s="1"/>
  <c r="X953" i="2" s="1"/>
  <c r="U957" i="2"/>
  <c r="V957" i="2" s="1"/>
  <c r="AH983" i="2"/>
  <c r="AH1002" i="2"/>
  <c r="AG1022" i="2"/>
  <c r="U1035" i="2"/>
  <c r="V1035" i="2" s="1"/>
  <c r="W1035" i="2" s="1"/>
  <c r="X1035" i="2" s="1"/>
  <c r="U1044" i="2"/>
  <c r="V1044" i="2" s="1"/>
  <c r="W1044" i="2" s="1"/>
  <c r="X1044" i="2" s="1"/>
  <c r="AH1063" i="2"/>
  <c r="U1074" i="2"/>
  <c r="V1074" i="2" s="1"/>
  <c r="W1074" i="2" s="1"/>
  <c r="X1074" i="2" s="1"/>
  <c r="U1100" i="2"/>
  <c r="V1100" i="2" s="1"/>
  <c r="W1100" i="2" s="1"/>
  <c r="X1100" i="2" s="1"/>
  <c r="AH1122" i="2"/>
  <c r="AF1130" i="2"/>
  <c r="U1137" i="2"/>
  <c r="V1137" i="2" s="1"/>
  <c r="W1137" i="2" s="1"/>
  <c r="X1137" i="2" s="1"/>
  <c r="AH1141" i="2"/>
  <c r="AD1156" i="2"/>
  <c r="AE1165" i="2"/>
  <c r="AG1194" i="2"/>
  <c r="AE1197" i="2"/>
  <c r="AH1283" i="2"/>
  <c r="AH1288" i="2"/>
  <c r="AH1294" i="2"/>
  <c r="AF1301" i="2"/>
  <c r="U290" i="2"/>
  <c r="V290" i="2" s="1"/>
  <c r="W290" i="2" s="1"/>
  <c r="X290" i="2" s="1"/>
  <c r="AG334" i="2"/>
  <c r="U352" i="2"/>
  <c r="V352" i="2" s="1"/>
  <c r="W352" i="2" s="1"/>
  <c r="X352" i="2" s="1"/>
  <c r="AG376" i="2"/>
  <c r="AD389" i="2"/>
  <c r="AD407" i="2"/>
  <c r="AD444" i="2"/>
  <c r="AF496" i="2"/>
  <c r="AH528" i="2"/>
  <c r="AH559" i="2"/>
  <c r="AE581" i="2"/>
  <c r="AE642" i="2"/>
  <c r="AE667" i="2"/>
  <c r="U731" i="2"/>
  <c r="V731" i="2" s="1"/>
  <c r="W731" i="2" s="1"/>
  <c r="X731" i="2" s="1"/>
  <c r="AE735" i="2"/>
  <c r="AH770" i="2"/>
  <c r="AG781" i="2"/>
  <c r="AG786" i="2"/>
  <c r="AF821" i="2"/>
  <c r="AD826" i="2"/>
  <c r="U830" i="2"/>
  <c r="V830" i="2" s="1"/>
  <c r="U841" i="2"/>
  <c r="V841" i="2" s="1"/>
  <c r="AH897" i="2"/>
  <c r="AE924" i="2"/>
  <c r="AF955" i="2"/>
  <c r="U987" i="2"/>
  <c r="V987" i="2" s="1"/>
  <c r="W987" i="2" s="1"/>
  <c r="X987" i="2" s="1"/>
  <c r="AF1026" i="2"/>
  <c r="U1033" i="2"/>
  <c r="V1033" i="2" s="1"/>
  <c r="W1033" i="2" s="1"/>
  <c r="X1033" i="2" s="1"/>
  <c r="U1070" i="2"/>
  <c r="V1070" i="2" s="1"/>
  <c r="AH1110" i="2"/>
  <c r="AG1149" i="2"/>
  <c r="AD1152" i="2"/>
  <c r="AD1194" i="2"/>
  <c r="AG1216" i="2"/>
  <c r="AH1235" i="2"/>
  <c r="AH1240" i="2"/>
  <c r="AH1251" i="2"/>
  <c r="U1253" i="2"/>
  <c r="V1253" i="2" s="1"/>
  <c r="W1253" i="2" s="1"/>
  <c r="X1253" i="2" s="1"/>
  <c r="AG498" i="2"/>
  <c r="AE498" i="2"/>
  <c r="U846" i="2"/>
  <c r="V846" i="2" s="1"/>
  <c r="AG846" i="2"/>
  <c r="AF846" i="2"/>
  <c r="AE846" i="2"/>
  <c r="AD922" i="2"/>
  <c r="AE922" i="2"/>
  <c r="U18" i="2"/>
  <c r="V18" i="2" s="1"/>
  <c r="W18" i="2" s="1"/>
  <c r="X18" i="2" s="1"/>
  <c r="AF45" i="2"/>
  <c r="N5" i="1"/>
  <c r="U53" i="2"/>
  <c r="V53" i="2" s="1"/>
  <c r="W53" i="2" s="1"/>
  <c r="X53" i="2" s="1"/>
  <c r="AF55" i="2"/>
  <c r="U57" i="2"/>
  <c r="V57" i="2" s="1"/>
  <c r="W57" i="2" s="1"/>
  <c r="X57" i="2" s="1"/>
  <c r="AD65" i="2"/>
  <c r="AF71" i="2"/>
  <c r="U73" i="2"/>
  <c r="AF83" i="2"/>
  <c r="U99" i="2"/>
  <c r="V99" i="2" s="1"/>
  <c r="W99" i="2" s="1"/>
  <c r="X99" i="2" s="1"/>
  <c r="U109" i="2"/>
  <c r="V109" i="2" s="1"/>
  <c r="W109" i="2" s="1"/>
  <c r="X109" i="2" s="1"/>
  <c r="AF111" i="2"/>
  <c r="AG136" i="2"/>
  <c r="U142" i="2"/>
  <c r="V142" i="2" s="1"/>
  <c r="W142" i="2" s="1"/>
  <c r="X142" i="2" s="1"/>
  <c r="AH147" i="2"/>
  <c r="U157" i="2"/>
  <c r="V157" i="2" s="1"/>
  <c r="W157" i="2" s="1"/>
  <c r="X157" i="2" s="1"/>
  <c r="AD163" i="2"/>
  <c r="U167" i="2"/>
  <c r="V167" i="2" s="1"/>
  <c r="W167" i="2" s="1"/>
  <c r="X167" i="2" s="1"/>
  <c r="AD185" i="2"/>
  <c r="AG199" i="2"/>
  <c r="AD262" i="2"/>
  <c r="AH262" i="2"/>
  <c r="AF264" i="2"/>
  <c r="U264" i="2"/>
  <c r="V264" i="2" s="1"/>
  <c r="W264" i="2" s="1"/>
  <c r="X264" i="2" s="1"/>
  <c r="AH273" i="2"/>
  <c r="AK273" i="2" s="1"/>
  <c r="AL273" i="2" s="1"/>
  <c r="AM273" i="2" s="1"/>
  <c r="AN273" i="2" s="1"/>
  <c r="U273" i="2"/>
  <c r="AH305" i="2"/>
  <c r="U305" i="2"/>
  <c r="V305" i="2" s="1"/>
  <c r="W305" i="2" s="1"/>
  <c r="X305" i="2" s="1"/>
  <c r="G9" i="1"/>
  <c r="H9" i="1"/>
  <c r="AD5" i="2"/>
  <c r="AF12" i="2"/>
  <c r="U14" i="2"/>
  <c r="V14" i="2" s="1"/>
  <c r="W14" i="2" s="1"/>
  <c r="X14" i="2" s="1"/>
  <c r="AH37" i="2"/>
  <c r="U43" i="2"/>
  <c r="V43" i="2" s="1"/>
  <c r="W43" i="2" s="1"/>
  <c r="X43" i="2" s="1"/>
  <c r="AE45" i="2"/>
  <c r="AG49" i="2"/>
  <c r="AG61" i="2"/>
  <c r="AF63" i="2"/>
  <c r="U67" i="2"/>
  <c r="V67" i="2" s="1"/>
  <c r="W67" i="2" s="1"/>
  <c r="X67" i="2" s="1"/>
  <c r="AD77" i="2"/>
  <c r="U79" i="2"/>
  <c r="V79" i="2" s="1"/>
  <c r="W79" i="2" s="1"/>
  <c r="X79" i="2" s="1"/>
  <c r="U92" i="2"/>
  <c r="V92" i="2" s="1"/>
  <c r="W92" i="2" s="1"/>
  <c r="X92" i="2" s="1"/>
  <c r="AH101" i="2"/>
  <c r="AK101" i="2" s="1"/>
  <c r="AL101" i="2" s="1"/>
  <c r="AN101" i="2" s="1"/>
  <c r="U103" i="2"/>
  <c r="V103" i="2" s="1"/>
  <c r="W103" i="2" s="1"/>
  <c r="X103" i="2" s="1"/>
  <c r="AD126" i="2"/>
  <c r="U136" i="2"/>
  <c r="V136" i="2" s="1"/>
  <c r="U138" i="2"/>
  <c r="V138" i="2" s="1"/>
  <c r="W138" i="2" s="1"/>
  <c r="AF144" i="2"/>
  <c r="AD147" i="2"/>
  <c r="U151" i="2"/>
  <c r="V151" i="2" s="1"/>
  <c r="W151" i="2" s="1"/>
  <c r="X151" i="2" s="1"/>
  <c r="AF153" i="2"/>
  <c r="U165" i="2"/>
  <c r="V165" i="2" s="1"/>
  <c r="W165" i="2" s="1"/>
  <c r="X165" i="2" s="1"/>
  <c r="AF169" i="2"/>
  <c r="U171" i="2"/>
  <c r="X171" i="2" s="1"/>
  <c r="AH179" i="2"/>
  <c r="AG183" i="2"/>
  <c r="AH187" i="2"/>
  <c r="AK187" i="2" s="1"/>
  <c r="AL187" i="2" s="1"/>
  <c r="AN187" i="2" s="1"/>
  <c r="AG188" i="2"/>
  <c r="U199" i="2"/>
  <c r="V199" i="2" s="1"/>
  <c r="W199" i="2" s="1"/>
  <c r="X199" i="2" s="1"/>
  <c r="U203" i="2"/>
  <c r="V203" i="2" s="1"/>
  <c r="W203" i="2" s="1"/>
  <c r="X203" i="2" s="1"/>
  <c r="AG217" i="2"/>
  <c r="U236" i="2"/>
  <c r="V236" i="2" s="1"/>
  <c r="W236" i="2" s="1"/>
  <c r="X236" i="2" s="1"/>
  <c r="AE242" i="2"/>
  <c r="AF562" i="2"/>
  <c r="AG562" i="2"/>
  <c r="AG564" i="2"/>
  <c r="U564" i="2"/>
  <c r="V564" i="2" s="1"/>
  <c r="W564" i="2" s="1"/>
  <c r="X564" i="2" s="1"/>
  <c r="AH10" i="2"/>
  <c r="U12" i="2"/>
  <c r="V12" i="2" s="1"/>
  <c r="AH16" i="2"/>
  <c r="AF22" i="2"/>
  <c r="U27" i="2"/>
  <c r="V27" i="2" s="1"/>
  <c r="AF29" i="2"/>
  <c r="U37" i="2"/>
  <c r="V37" i="2" s="1"/>
  <c r="W37" i="2" s="1"/>
  <c r="X37" i="2" s="1"/>
  <c r="AD49" i="2"/>
  <c r="AG57" i="2"/>
  <c r="AF59" i="2"/>
  <c r="AH67" i="2"/>
  <c r="AH73" i="2"/>
  <c r="AG77" i="2"/>
  <c r="AD79" i="2"/>
  <c r="AF90" i="2"/>
  <c r="AG92" i="2"/>
  <c r="AH94" i="2"/>
  <c r="U101" i="2"/>
  <c r="U113" i="2"/>
  <c r="V113" i="2" s="1"/>
  <c r="W113" i="2" s="1"/>
  <c r="X113" i="2" s="1"/>
  <c r="AF116" i="2"/>
  <c r="AF122" i="2"/>
  <c r="AF128" i="2"/>
  <c r="AD132" i="2"/>
  <c r="U149" i="2"/>
  <c r="V149" i="2" s="1"/>
  <c r="W149" i="2" s="1"/>
  <c r="X149" i="2" s="1"/>
  <c r="AH157" i="2"/>
  <c r="AF159" i="2"/>
  <c r="AH161" i="2"/>
  <c r="U163" i="2"/>
  <c r="V163" i="2" s="1"/>
  <c r="W163" i="2" s="1"/>
  <c r="X163" i="2" s="1"/>
  <c r="AH167" i="2"/>
  <c r="AG169" i="2"/>
  <c r="U173" i="2"/>
  <c r="V173" i="2" s="1"/>
  <c r="W173" i="2" s="1"/>
  <c r="X173" i="2" s="1"/>
  <c r="AF175" i="2"/>
  <c r="U183" i="2"/>
  <c r="X183" i="2" s="1"/>
  <c r="AG187" i="2"/>
  <c r="AD192" i="2"/>
  <c r="AE195" i="2"/>
  <c r="AH209" i="2"/>
  <c r="AK209" i="2" s="1"/>
  <c r="AL209" i="2" s="1"/>
  <c r="AN209" i="2" s="1"/>
  <c r="AH215" i="2"/>
  <c r="U232" i="2"/>
  <c r="V232" i="2" s="1"/>
  <c r="W232" i="2" s="1"/>
  <c r="X232" i="2" s="1"/>
  <c r="U234" i="2"/>
  <c r="V234" i="2" s="1"/>
  <c r="AE289" i="2"/>
  <c r="AH289" i="2"/>
  <c r="AE375" i="2"/>
  <c r="AD375" i="2"/>
  <c r="U375" i="2"/>
  <c r="V375" i="2" s="1"/>
  <c r="W375" i="2" s="1"/>
  <c r="X375" i="2" s="1"/>
  <c r="AH386" i="2"/>
  <c r="AK386" i="2" s="1"/>
  <c r="AL386" i="2" s="1"/>
  <c r="AN386" i="2" s="1"/>
  <c r="AG386" i="2"/>
  <c r="AE386" i="2"/>
  <c r="AH430" i="2"/>
  <c r="AK430" i="2" s="1"/>
  <c r="AL430" i="2" s="1"/>
  <c r="AN430" i="2" s="1"/>
  <c r="AD8" i="2"/>
  <c r="AE18" i="2"/>
  <c r="AH25" i="2"/>
  <c r="U29" i="2"/>
  <c r="V29" i="2" s="1"/>
  <c r="W29" i="2" s="1"/>
  <c r="X29" i="2" s="1"/>
  <c r="AG33" i="2"/>
  <c r="AH39" i="2"/>
  <c r="AE41" i="2"/>
  <c r="AE43" i="2"/>
  <c r="AH45" i="2"/>
  <c r="AF47" i="2"/>
  <c r="AF81" i="2"/>
  <c r="AG89" i="2"/>
  <c r="AE95" i="2"/>
  <c r="AD124" i="2"/>
  <c r="AH136" i="2"/>
  <c r="AF138" i="2"/>
  <c r="AD140" i="2"/>
  <c r="U147" i="2"/>
  <c r="AH151" i="2"/>
  <c r="AH163" i="2"/>
  <c r="AH177" i="2"/>
  <c r="U179" i="2"/>
  <c r="V179" i="2" s="1"/>
  <c r="W179" i="2" s="1"/>
  <c r="X179" i="2" s="1"/>
  <c r="AH199" i="2"/>
  <c r="AK199" i="2" s="1"/>
  <c r="AL199" i="2" s="1"/>
  <c r="AN199" i="2" s="1"/>
  <c r="U211" i="2"/>
  <c r="V211" i="2" s="1"/>
  <c r="W211" i="2" s="1"/>
  <c r="X211" i="2" s="1"/>
  <c r="AD230" i="2"/>
  <c r="AD240" i="2"/>
  <c r="AG249" i="2"/>
  <c r="U262" i="2"/>
  <c r="V262" i="2" s="1"/>
  <c r="W262" i="2" s="1"/>
  <c r="X262" i="2" s="1"/>
  <c r="AH291" i="2"/>
  <c r="AF291" i="2"/>
  <c r="AE291" i="2"/>
  <c r="AD291" i="2"/>
  <c r="F7" i="1"/>
  <c r="N9" i="1"/>
  <c r="AH21" i="2"/>
  <c r="AE27" i="2"/>
  <c r="AD53" i="2"/>
  <c r="AH65" i="2"/>
  <c r="AF69" i="2"/>
  <c r="AE79" i="2"/>
  <c r="AD81" i="2"/>
  <c r="AD92" i="2"/>
  <c r="AE97" i="2"/>
  <c r="AD109" i="2"/>
  <c r="AD119" i="2"/>
  <c r="AG121" i="2"/>
  <c r="AF171" i="2"/>
  <c r="AF203" i="2"/>
  <c r="AH224" i="2"/>
  <c r="U226" i="2"/>
  <c r="V226" i="2" s="1"/>
  <c r="W226" i="2" s="1"/>
  <c r="X226" i="2" s="1"/>
  <c r="AG240" i="2"/>
  <c r="U260" i="2"/>
  <c r="V260" i="2" s="1"/>
  <c r="W260" i="2" s="1"/>
  <c r="X260" i="2" s="1"/>
  <c r="AD264" i="2"/>
  <c r="AF53" i="2"/>
  <c r="AF97" i="2"/>
  <c r="AG109" i="2"/>
  <c r="AE163" i="2"/>
  <c r="AD173" i="2"/>
  <c r="AF185" i="2"/>
  <c r="AD205" i="2"/>
  <c r="AE232" i="2"/>
  <c r="AG264" i="2"/>
  <c r="AE294" i="2"/>
  <c r="U294" i="2"/>
  <c r="V294" i="2" s="1"/>
  <c r="W294" i="2" s="1"/>
  <c r="X294" i="2" s="1"/>
  <c r="AG488" i="2"/>
  <c r="AG525" i="2"/>
  <c r="AF525" i="2"/>
  <c r="U580" i="2"/>
  <c r="V580" i="2" s="1"/>
  <c r="W580" i="2" s="1"/>
  <c r="X580" i="2" s="1"/>
  <c r="E10" i="1"/>
  <c r="E12" i="1"/>
  <c r="E24" i="1"/>
  <c r="AH4" i="2"/>
  <c r="AF23" i="2"/>
  <c r="AG25" i="2"/>
  <c r="AF27" i="2"/>
  <c r="AD37" i="2"/>
  <c r="AH41" i="2"/>
  <c r="AH49" i="2"/>
  <c r="AH64" i="2"/>
  <c r="AD72" i="2"/>
  <c r="U89" i="2"/>
  <c r="V89" i="2" s="1"/>
  <c r="W89" i="2" s="1"/>
  <c r="X89" i="2" s="1"/>
  <c r="AH100" i="2"/>
  <c r="AK100" i="2" s="1"/>
  <c r="AL100" i="2" s="1"/>
  <c r="AN100" i="2" s="1"/>
  <c r="AH109" i="2"/>
  <c r="AE125" i="2"/>
  <c r="AE141" i="2"/>
  <c r="AF143" i="2"/>
  <c r="AE147" i="2"/>
  <c r="AE156" i="2"/>
  <c r="AF158" i="2"/>
  <c r="AF163" i="2"/>
  <c r="AD166" i="2"/>
  <c r="AH170" i="2"/>
  <c r="AE179" i="2"/>
  <c r="AG185" i="2"/>
  <c r="AF191" i="2"/>
  <c r="AH202" i="2"/>
  <c r="AK202" i="2" s="1"/>
  <c r="AL202" i="2" s="1"/>
  <c r="AN202" i="2" s="1"/>
  <c r="AF211" i="2"/>
  <c r="AD214" i="2"/>
  <c r="AG232" i="2"/>
  <c r="AG262" i="2"/>
  <c r="AD285" i="2"/>
  <c r="AG514" i="2"/>
  <c r="AE514" i="2"/>
  <c r="U4" i="2"/>
  <c r="V4" i="2" s="1"/>
  <c r="U15" i="2"/>
  <c r="AG17" i="2"/>
  <c r="AF37" i="2"/>
  <c r="AF46" i="2"/>
  <c r="U54" i="2"/>
  <c r="V54" i="2" s="1"/>
  <c r="U56" i="2"/>
  <c r="V56" i="2" s="1"/>
  <c r="W56" i="2" s="1"/>
  <c r="X56" i="2" s="1"/>
  <c r="U60" i="2"/>
  <c r="AH66" i="2"/>
  <c r="AH68" i="2"/>
  <c r="U70" i="2"/>
  <c r="V70" i="2" s="1"/>
  <c r="W70" i="2" s="1"/>
  <c r="X70" i="2" s="1"/>
  <c r="U72" i="2"/>
  <c r="V72" i="2" s="1"/>
  <c r="W72" i="2" s="1"/>
  <c r="X72" i="2" s="1"/>
  <c r="AF74" i="2"/>
  <c r="U78" i="2"/>
  <c r="V78" i="2" s="1"/>
  <c r="AH84" i="2"/>
  <c r="AD100" i="2"/>
  <c r="AE111" i="2"/>
  <c r="AD113" i="2"/>
  <c r="U117" i="2"/>
  <c r="V117" i="2" s="1"/>
  <c r="U125" i="2"/>
  <c r="V125" i="2" s="1"/>
  <c r="W125" i="2" s="1"/>
  <c r="X125" i="2" s="1"/>
  <c r="AF127" i="2"/>
  <c r="AE128" i="2"/>
  <c r="AE132" i="2"/>
  <c r="U141" i="2"/>
  <c r="AF147" i="2"/>
  <c r="U156" i="2"/>
  <c r="V156" i="2" s="1"/>
  <c r="W156" i="2" s="1"/>
  <c r="X156" i="2" s="1"/>
  <c r="AE159" i="2"/>
  <c r="U166" i="2"/>
  <c r="V166" i="2" s="1"/>
  <c r="W166" i="2" s="1"/>
  <c r="X166" i="2" s="1"/>
  <c r="AE172" i="2"/>
  <c r="AF174" i="2"/>
  <c r="AE175" i="2"/>
  <c r="AF179" i="2"/>
  <c r="AH185" i="2"/>
  <c r="AK185" i="2" s="1"/>
  <c r="AL185" i="2" s="1"/>
  <c r="AN185" i="2" s="1"/>
  <c r="AD187" i="2"/>
  <c r="AH189" i="2"/>
  <c r="AK189" i="2" s="1"/>
  <c r="AL189" i="2" s="1"/>
  <c r="AN189" i="2" s="1"/>
  <c r="U191" i="2"/>
  <c r="AG211" i="2"/>
  <c r="U214" i="2"/>
  <c r="V214" i="2" s="1"/>
  <c r="AH222" i="2"/>
  <c r="AF228" i="2"/>
  <c r="AH237" i="2"/>
  <c r="AE237" i="2"/>
  <c r="U254" i="2"/>
  <c r="V254" i="2" s="1"/>
  <c r="W254" i="2" s="1"/>
  <c r="X254" i="2" s="1"/>
  <c r="AD338" i="2"/>
  <c r="AG338" i="2"/>
  <c r="AE338" i="2"/>
  <c r="E8" i="1"/>
  <c r="F8" i="1"/>
  <c r="AH6" i="2"/>
  <c r="AE8" i="2"/>
  <c r="AF13" i="2"/>
  <c r="AH33" i="2"/>
  <c r="AF44" i="2"/>
  <c r="AH48" i="2"/>
  <c r="AH52" i="2"/>
  <c r="U64" i="2"/>
  <c r="V64" i="2" s="1"/>
  <c r="W64" i="2" s="1"/>
  <c r="X64" i="2" s="1"/>
  <c r="AE84" i="2"/>
  <c r="AG85" i="2"/>
  <c r="AE93" i="2"/>
  <c r="AD94" i="2"/>
  <c r="AH98" i="2"/>
  <c r="AK98" i="2" s="1"/>
  <c r="AL98" i="2" s="1"/>
  <c r="AN98" i="2" s="1"/>
  <c r="AG111" i="2"/>
  <c r="AE113" i="2"/>
  <c r="AF132" i="2"/>
  <c r="AG147" i="2"/>
  <c r="AD150" i="2"/>
  <c r="AF187" i="2"/>
  <c r="AF195" i="2"/>
  <c r="AE204" i="2"/>
  <c r="AF206" i="2"/>
  <c r="AD222" i="2"/>
  <c r="U237" i="2"/>
  <c r="V237" i="2" s="1"/>
  <c r="W237" i="2" s="1"/>
  <c r="X237" i="2" s="1"/>
  <c r="AH243" i="2"/>
  <c r="G8" i="1"/>
  <c r="AG8" i="2"/>
  <c r="U11" i="2"/>
  <c r="V11" i="2" s="1"/>
  <c r="W11" i="2" s="1"/>
  <c r="X11" i="2" s="1"/>
  <c r="AE13" i="2"/>
  <c r="AH19" i="2"/>
  <c r="AD21" i="2"/>
  <c r="AF30" i="2"/>
  <c r="AG32" i="2"/>
  <c r="AH42" i="2"/>
  <c r="U44" i="2"/>
  <c r="V44" i="2" s="1"/>
  <c r="W44" i="2" s="1"/>
  <c r="X44" i="2" s="1"/>
  <c r="AH50" i="2"/>
  <c r="U52" i="2"/>
  <c r="U80" i="2"/>
  <c r="V80" i="2" s="1"/>
  <c r="W80" i="2" s="1"/>
  <c r="X80" i="2" s="1"/>
  <c r="AE89" i="2"/>
  <c r="U93" i="2"/>
  <c r="V93" i="2" s="1"/>
  <c r="AE94" i="2"/>
  <c r="U100" i="2"/>
  <c r="V100" i="2" s="1"/>
  <c r="W100" i="2" s="1"/>
  <c r="X100" i="2" s="1"/>
  <c r="AG108" i="2"/>
  <c r="AF113" i="2"/>
  <c r="AG117" i="2"/>
  <c r="AF119" i="2"/>
  <c r="AE121" i="2"/>
  <c r="U129" i="2"/>
  <c r="V129" i="2" s="1"/>
  <c r="W129" i="2" s="1"/>
  <c r="X129" i="2" s="1"/>
  <c r="AD135" i="2"/>
  <c r="U150" i="2"/>
  <c r="V150" i="2" s="1"/>
  <c r="W150" i="2" s="1"/>
  <c r="X150" i="2" s="1"/>
  <c r="U160" i="2"/>
  <c r="V160" i="2" s="1"/>
  <c r="W160" i="2" s="1"/>
  <c r="X160" i="2" s="1"/>
  <c r="AH164" i="2"/>
  <c r="AH166" i="2"/>
  <c r="U176" i="2"/>
  <c r="V176" i="2" s="1"/>
  <c r="W176" i="2" s="1"/>
  <c r="X176" i="2" s="1"/>
  <c r="AD182" i="2"/>
  <c r="AG195" i="2"/>
  <c r="U202" i="2"/>
  <c r="V202" i="2" s="1"/>
  <c r="W202" i="2" s="1"/>
  <c r="X202" i="2" s="1"/>
  <c r="U204" i="2"/>
  <c r="U208" i="2"/>
  <c r="V208" i="2" s="1"/>
  <c r="W208" i="2" s="1"/>
  <c r="X208" i="2" s="1"/>
  <c r="AH212" i="2"/>
  <c r="AK212" i="2" s="1"/>
  <c r="AL212" i="2" s="1"/>
  <c r="AN212" i="2" s="1"/>
  <c r="AH214" i="2"/>
  <c r="AK214" i="2" s="1"/>
  <c r="AL214" i="2" s="1"/>
  <c r="AN214" i="2" s="1"/>
  <c r="AF221" i="2"/>
  <c r="AF231" i="2"/>
  <c r="U235" i="2"/>
  <c r="AD243" i="2"/>
  <c r="U272" i="2"/>
  <c r="V272" i="2" s="1"/>
  <c r="W272" i="2" s="1"/>
  <c r="X272" i="2" s="1"/>
  <c r="AE272" i="2"/>
  <c r="AD404" i="2"/>
  <c r="AH411" i="2"/>
  <c r="AK411" i="2" s="1"/>
  <c r="AL411" i="2" s="1"/>
  <c r="AN411" i="2" s="1"/>
  <c r="AF6" i="2"/>
  <c r="AD15" i="2"/>
  <c r="AF21" i="2"/>
  <c r="AH26" i="2"/>
  <c r="AF28" i="2"/>
  <c r="AH34" i="2"/>
  <c r="AH36" i="2"/>
  <c r="U38" i="2"/>
  <c r="V38" i="2" s="1"/>
  <c r="W38" i="2" s="1"/>
  <c r="X38" i="2" s="1"/>
  <c r="AD40" i="2"/>
  <c r="AG60" i="2"/>
  <c r="AG78" i="2"/>
  <c r="AF106" i="2"/>
  <c r="AG119" i="2"/>
  <c r="AH121" i="2"/>
  <c r="AH186" i="2"/>
  <c r="AK186" i="2" s="1"/>
  <c r="AL186" i="2" s="1"/>
  <c r="AM186" i="2" s="1"/>
  <c r="AN186" i="2" s="1"/>
  <c r="AH250" i="2"/>
  <c r="AG250" i="2"/>
  <c r="AH261" i="2"/>
  <c r="U261" i="2"/>
  <c r="V261" i="2" s="1"/>
  <c r="W261" i="2" s="1"/>
  <c r="X261" i="2" s="1"/>
  <c r="H5" i="1"/>
  <c r="AH9" i="2"/>
  <c r="AD24" i="2"/>
  <c r="AG62" i="2"/>
  <c r="AD64" i="2"/>
  <c r="AE77" i="2"/>
  <c r="AG106" i="2"/>
  <c r="AD108" i="2"/>
  <c r="AH116" i="2"/>
  <c r="AH148" i="2"/>
  <c r="AD169" i="2"/>
  <c r="AE188" i="2"/>
  <c r="AE191" i="2"/>
  <c r="AH196" i="2"/>
  <c r="AK196" i="2" s="1"/>
  <c r="AL196" i="2" s="1"/>
  <c r="AM196" i="2" s="1"/>
  <c r="AN196" i="2" s="1"/>
  <c r="AF214" i="2"/>
  <c r="AE219" i="2"/>
  <c r="U225" i="2"/>
  <c r="V225" i="2" s="1"/>
  <c r="W225" i="2" s="1"/>
  <c r="X225" i="2" s="1"/>
  <c r="U227" i="2"/>
  <c r="V227" i="2" s="1"/>
  <c r="W227" i="2" s="1"/>
  <c r="X227" i="2" s="1"/>
  <c r="AH248" i="2"/>
  <c r="AG248" i="2"/>
  <c r="AE248" i="2"/>
  <c r="AF259" i="2"/>
  <c r="AE259" i="2"/>
  <c r="AH5" i="2"/>
  <c r="AH7" i="2"/>
  <c r="AK7" i="2" s="1"/>
  <c r="AL7" i="2" s="1"/>
  <c r="AN7" i="2" s="1"/>
  <c r="U9" i="2"/>
  <c r="V9" i="2" s="1"/>
  <c r="W9" i="2" s="1"/>
  <c r="X9" i="2" s="1"/>
  <c r="U24" i="2"/>
  <c r="AG44" i="2"/>
  <c r="AE48" i="2"/>
  <c r="AG56" i="2"/>
  <c r="AG72" i="2"/>
  <c r="U77" i="2"/>
  <c r="V77" i="2" s="1"/>
  <c r="W77" i="2" s="1"/>
  <c r="X77" i="2" s="1"/>
  <c r="AH95" i="2"/>
  <c r="AE100" i="2"/>
  <c r="AF108" i="2"/>
  <c r="U112" i="2"/>
  <c r="AD116" i="2"/>
  <c r="AG125" i="2"/>
  <c r="AG141" i="2"/>
  <c r="U148" i="2"/>
  <c r="V148" i="2" s="1"/>
  <c r="W148" i="2" s="1"/>
  <c r="X148" i="2" s="1"/>
  <c r="AD153" i="2"/>
  <c r="AG156" i="2"/>
  <c r="AG164" i="2"/>
  <c r="AG166" i="2"/>
  <c r="AD172" i="2"/>
  <c r="U180" i="2"/>
  <c r="V180" i="2" s="1"/>
  <c r="W180" i="2" s="1"/>
  <c r="X180" i="2" s="1"/>
  <c r="AH182" i="2"/>
  <c r="U188" i="2"/>
  <c r="V188" i="2" s="1"/>
  <c r="W188" i="2" s="1"/>
  <c r="X188" i="2" s="1"/>
  <c r="AF190" i="2"/>
  <c r="AH190" i="2"/>
  <c r="AK190" i="2" s="1"/>
  <c r="AL190" i="2" s="1"/>
  <c r="AM190" i="2" s="1"/>
  <c r="U196" i="2"/>
  <c r="V196" i="2" s="1"/>
  <c r="AF198" i="2"/>
  <c r="AG212" i="2"/>
  <c r="AG214" i="2"/>
  <c r="AD217" i="2"/>
  <c r="AG219" i="2"/>
  <c r="U219" i="2"/>
  <c r="V219" i="2" s="1"/>
  <c r="AH223" i="2"/>
  <c r="AH231" i="2"/>
  <c r="AF248" i="2"/>
  <c r="AF283" i="2"/>
  <c r="AH290" i="2"/>
  <c r="AG493" i="2"/>
  <c r="AF493" i="2"/>
  <c r="AE493" i="2"/>
  <c r="U5" i="2"/>
  <c r="V5" i="2" s="1"/>
  <c r="AF7" i="2"/>
  <c r="AF11" i="2"/>
  <c r="AG50" i="2"/>
  <c r="U88" i="2"/>
  <c r="V88" i="2" s="1"/>
  <c r="W88" i="2" s="1"/>
  <c r="X88" i="2" s="1"/>
  <c r="AD110" i="2"/>
  <c r="AG120" i="2"/>
  <c r="AH125" i="2"/>
  <c r="AE140" i="2"/>
  <c r="AH141" i="2"/>
  <c r="AK141" i="2" s="1"/>
  <c r="AL141" i="2" s="1"/>
  <c r="AM141" i="2" s="1"/>
  <c r="AN141" i="2" s="1"/>
  <c r="AE143" i="2"/>
  <c r="AF150" i="2"/>
  <c r="AH155" i="2"/>
  <c r="AH156" i="2"/>
  <c r="AE158" i="2"/>
  <c r="AE174" i="2"/>
  <c r="U192" i="2"/>
  <c r="V192" i="2" s="1"/>
  <c r="W192" i="2" s="1"/>
  <c r="X192" i="2" s="1"/>
  <c r="AF192" i="2"/>
  <c r="AG198" i="2"/>
  <c r="AD201" i="2"/>
  <c r="U257" i="2"/>
  <c r="AD257" i="2"/>
  <c r="AH275" i="2"/>
  <c r="AK275" i="2" s="1"/>
  <c r="AL275" i="2" s="1"/>
  <c r="AG275" i="2"/>
  <c r="AE275" i="2"/>
  <c r="U275" i="2"/>
  <c r="V275" i="2" s="1"/>
  <c r="W275" i="2" s="1"/>
  <c r="X275" i="2" s="1"/>
  <c r="AE332" i="2"/>
  <c r="U533" i="2"/>
  <c r="V533" i="2" s="1"/>
  <c r="AH533" i="2"/>
  <c r="AG533" i="2"/>
  <c r="AF533" i="2"/>
  <c r="AE533" i="2"/>
  <c r="AD533" i="2"/>
  <c r="AG9" i="2"/>
  <c r="AF14" i="2"/>
  <c r="AG16" i="2"/>
  <c r="AH20" i="2"/>
  <c r="AG28" i="2"/>
  <c r="AE34" i="2"/>
  <c r="E6" i="1"/>
  <c r="U59" i="2"/>
  <c r="V59" i="2" s="1"/>
  <c r="W59" i="2" s="1"/>
  <c r="X59" i="2" s="1"/>
  <c r="AF61" i="2"/>
  <c r="U63" i="2"/>
  <c r="V63" i="2" s="1"/>
  <c r="AH69" i="2"/>
  <c r="H7" i="1"/>
  <c r="U75" i="2"/>
  <c r="V75" i="2" s="1"/>
  <c r="W75" i="2" s="1"/>
  <c r="X75" i="2" s="1"/>
  <c r="AH79" i="2"/>
  <c r="AF84" i="2"/>
  <c r="AH92" i="2"/>
  <c r="AG93" i="2"/>
  <c r="AH97" i="2"/>
  <c r="AK97" i="2" s="1"/>
  <c r="AL97" i="2" s="1"/>
  <c r="AN97" i="2" s="1"/>
  <c r="AG100" i="2"/>
  <c r="AE112" i="2"/>
  <c r="U116" i="2"/>
  <c r="V116" i="2" s="1"/>
  <c r="W116" i="2" s="1"/>
  <c r="X116" i="2" s="1"/>
  <c r="U118" i="2"/>
  <c r="V118" i="2" s="1"/>
  <c r="W118" i="2" s="1"/>
  <c r="X118" i="2" s="1"/>
  <c r="U120" i="2"/>
  <c r="V120" i="2" s="1"/>
  <c r="W120" i="2" s="1"/>
  <c r="X120" i="2" s="1"/>
  <c r="AG124" i="2"/>
  <c r="AG127" i="2"/>
  <c r="AD129" i="2"/>
  <c r="AD138" i="2"/>
  <c r="AG140" i="2"/>
  <c r="AG143" i="2"/>
  <c r="AG148" i="2"/>
  <c r="AG150" i="2"/>
  <c r="AG155" i="2"/>
  <c r="AG158" i="2"/>
  <c r="AD160" i="2"/>
  <c r="AH171" i="2"/>
  <c r="AH172" i="2"/>
  <c r="AG174" i="2"/>
  <c r="AD176" i="2"/>
  <c r="AG180" i="2"/>
  <c r="AF182" i="2"/>
  <c r="AG196" i="2"/>
  <c r="AH203" i="2"/>
  <c r="AK203" i="2" s="1"/>
  <c r="AL203" i="2" s="1"/>
  <c r="AG204" i="2"/>
  <c r="AE206" i="2"/>
  <c r="AF229" i="2"/>
  <c r="AE240" i="2"/>
  <c r="AH270" i="2"/>
  <c r="AK270" i="2" s="1"/>
  <c r="AL270" i="2" s="1"/>
  <c r="AM270" i="2" s="1"/>
  <c r="AN270" i="2" s="1"/>
  <c r="AG293" i="2"/>
  <c r="AF293" i="2"/>
  <c r="AD293" i="2"/>
  <c r="AH370" i="2"/>
  <c r="AK370" i="2" s="1"/>
  <c r="AL370" i="2" s="1"/>
  <c r="AN370" i="2" s="1"/>
  <c r="AG370" i="2"/>
  <c r="AE370" i="2"/>
  <c r="AD370" i="2"/>
  <c r="AE459" i="2"/>
  <c r="AH511" i="2"/>
  <c r="AH257" i="2"/>
  <c r="U263" i="2"/>
  <c r="V263" i="2" s="1"/>
  <c r="W263" i="2" s="1"/>
  <c r="X263" i="2" s="1"/>
  <c r="AE265" i="2"/>
  <c r="U271" i="2"/>
  <c r="V271" i="2" s="1"/>
  <c r="W271" i="2" s="1"/>
  <c r="X271" i="2" s="1"/>
  <c r="AD275" i="2"/>
  <c r="U279" i="2"/>
  <c r="V279" i="2" s="1"/>
  <c r="AG289" i="2"/>
  <c r="U303" i="2"/>
  <c r="AG332" i="2"/>
  <c r="AF368" i="2"/>
  <c r="AF384" i="2"/>
  <c r="AE389" i="2"/>
  <c r="AE400" i="2"/>
  <c r="AH405" i="2"/>
  <c r="AF430" i="2"/>
  <c r="U461" i="2"/>
  <c r="V461" i="2" s="1"/>
  <c r="W461" i="2" s="1"/>
  <c r="X461" i="2" s="1"/>
  <c r="U467" i="2"/>
  <c r="V467" i="2" s="1"/>
  <c r="W467" i="2" s="1"/>
  <c r="X467" i="2" s="1"/>
  <c r="AG548" i="2"/>
  <c r="AD548" i="2"/>
  <c r="U562" i="2"/>
  <c r="V562" i="2" s="1"/>
  <c r="AD578" i="2"/>
  <c r="AH1258" i="2"/>
  <c r="AG1258" i="2"/>
  <c r="AH228" i="2"/>
  <c r="AF251" i="2"/>
  <c r="U265" i="2"/>
  <c r="V265" i="2" s="1"/>
  <c r="W265" i="2" s="1"/>
  <c r="X265" i="2" s="1"/>
  <c r="AD313" i="2"/>
  <c r="U320" i="2"/>
  <c r="V320" i="2" s="1"/>
  <c r="AD323" i="2"/>
  <c r="AH326" i="2"/>
  <c r="U328" i="2"/>
  <c r="V328" i="2" s="1"/>
  <c r="W328" i="2" s="1"/>
  <c r="X328" i="2" s="1"/>
  <c r="U340" i="2"/>
  <c r="V340" i="2" s="1"/>
  <c r="W340" i="2" s="1"/>
  <c r="AF358" i="2"/>
  <c r="AE360" i="2"/>
  <c r="U364" i="2"/>
  <c r="V364" i="2" s="1"/>
  <c r="W364" i="2" s="1"/>
  <c r="X364" i="2" s="1"/>
  <c r="AH366" i="2"/>
  <c r="AK366" i="2" s="1"/>
  <c r="AL366" i="2" s="1"/>
  <c r="AN366" i="2" s="1"/>
  <c r="AD373" i="2"/>
  <c r="AE379" i="2"/>
  <c r="AG397" i="2"/>
  <c r="AG400" i="2"/>
  <c r="AF411" i="2"/>
  <c r="AH413" i="2"/>
  <c r="AG430" i="2"/>
  <c r="AD432" i="2"/>
  <c r="AE452" i="2"/>
  <c r="AG469" i="2"/>
  <c r="AH473" i="2"/>
  <c r="AH484" i="2"/>
  <c r="AG486" i="2"/>
  <c r="U506" i="2"/>
  <c r="V506" i="2" s="1"/>
  <c r="W506" i="2" s="1"/>
  <c r="X506" i="2" s="1"/>
  <c r="AD518" i="2"/>
  <c r="AG523" i="2"/>
  <c r="AG531" i="2"/>
  <c r="AF574" i="2"/>
  <c r="AG576" i="2"/>
  <c r="U588" i="2"/>
  <c r="V588" i="2" s="1"/>
  <c r="W588" i="2" s="1"/>
  <c r="X588" i="2" s="1"/>
  <c r="AG588" i="2"/>
  <c r="U607" i="2"/>
  <c r="V607" i="2" s="1"/>
  <c r="AH609" i="2"/>
  <c r="AF609" i="2"/>
  <c r="AD609" i="2"/>
  <c r="AE687" i="2"/>
  <c r="U766" i="2"/>
  <c r="V766" i="2" s="1"/>
  <c r="W766" i="2" s="1"/>
  <c r="X766" i="2" s="1"/>
  <c r="AE766" i="2"/>
  <c r="AE902" i="2"/>
  <c r="AD902" i="2"/>
  <c r="U902" i="2"/>
  <c r="V902" i="2" s="1"/>
  <c r="W902" i="2" s="1"/>
  <c r="X902" i="2" s="1"/>
  <c r="AD263" i="2"/>
  <c r="U289" i="2"/>
  <c r="V289" i="2" s="1"/>
  <c r="AG305" i="2"/>
  <c r="AH311" i="2"/>
  <c r="AE313" i="2"/>
  <c r="AE323" i="2"/>
  <c r="AD336" i="2"/>
  <c r="AG342" i="2"/>
  <c r="AF360" i="2"/>
  <c r="AE362" i="2"/>
  <c r="AD368" i="2"/>
  <c r="AE373" i="2"/>
  <c r="AD384" i="2"/>
  <c r="U399" i="2"/>
  <c r="AD408" i="2"/>
  <c r="AG411" i="2"/>
  <c r="U417" i="2"/>
  <c r="V417" i="2" s="1"/>
  <c r="W417" i="2" s="1"/>
  <c r="X417" i="2" s="1"/>
  <c r="AD436" i="2"/>
  <c r="U442" i="2"/>
  <c r="V442" i="2" s="1"/>
  <c r="W442" i="2" s="1"/>
  <c r="X442" i="2" s="1"/>
  <c r="AF463" i="2"/>
  <c r="AE467" i="2"/>
  <c r="U469" i="2"/>
  <c r="V469" i="2" s="1"/>
  <c r="W469" i="2" s="1"/>
  <c r="X469" i="2" s="1"/>
  <c r="AG477" i="2"/>
  <c r="AE479" i="2"/>
  <c r="AE486" i="2"/>
  <c r="AD495" i="2"/>
  <c r="AH507" i="2"/>
  <c r="AE509" i="2"/>
  <c r="U518" i="2"/>
  <c r="V518" i="2" s="1"/>
  <c r="W518" i="2" s="1"/>
  <c r="X518" i="2" s="1"/>
  <c r="AH535" i="2"/>
  <c r="AE535" i="2"/>
  <c r="AD535" i="2"/>
  <c r="U543" i="2"/>
  <c r="V543" i="2" s="1"/>
  <c r="W543" i="2" s="1"/>
  <c r="X543" i="2" s="1"/>
  <c r="AE550" i="2"/>
  <c r="AD562" i="2"/>
  <c r="AH570" i="2"/>
  <c r="AH574" i="2"/>
  <c r="U578" i="2"/>
  <c r="V578" i="2" s="1"/>
  <c r="U599" i="2"/>
  <c r="V599" i="2" s="1"/>
  <c r="W599" i="2" s="1"/>
  <c r="X599" i="2" s="1"/>
  <c r="AH599" i="2"/>
  <c r="AD599" i="2"/>
  <c r="AG603" i="2"/>
  <c r="AH603" i="2"/>
  <c r="AF603" i="2"/>
  <c r="AD603" i="2"/>
  <c r="U603" i="2"/>
  <c r="V603" i="2" s="1"/>
  <c r="W603" i="2" s="1"/>
  <c r="X603" i="2" s="1"/>
  <c r="AE281" i="2"/>
  <c r="AH301" i="2"/>
  <c r="AH303" i="2"/>
  <c r="AE368" i="2"/>
  <c r="AF373" i="2"/>
  <c r="AE384" i="2"/>
  <c r="AF395" i="2"/>
  <c r="U397" i="2"/>
  <c r="V397" i="2" s="1"/>
  <c r="AD402" i="2"/>
  <c r="AH406" i="2"/>
  <c r="U408" i="2"/>
  <c r="V408" i="2" s="1"/>
  <c r="W408" i="2" s="1"/>
  <c r="X408" i="2" s="1"/>
  <c r="AF425" i="2"/>
  <c r="AH432" i="2"/>
  <c r="AK432" i="2" s="1"/>
  <c r="AL432" i="2" s="1"/>
  <c r="AN432" i="2" s="1"/>
  <c r="AG436" i="2"/>
  <c r="AE455" i="2"/>
  <c r="AD490" i="2"/>
  <c r="AH493" i="2"/>
  <c r="AF509" i="2"/>
  <c r="AD511" i="2"/>
  <c r="AH531" i="2"/>
  <c r="AG535" i="2"/>
  <c r="AG550" i="2"/>
  <c r="AE557" i="2"/>
  <c r="AG582" i="2"/>
  <c r="AF666" i="2"/>
  <c r="AD666" i="2"/>
  <c r="U666" i="2"/>
  <c r="V666" i="2" s="1"/>
  <c r="W666" i="2" s="1"/>
  <c r="X666" i="2" s="1"/>
  <c r="AD780" i="2"/>
  <c r="AF780" i="2"/>
  <c r="AE780" i="2"/>
  <c r="AH994" i="2"/>
  <c r="AK994" i="2" s="1"/>
  <c r="AL994" i="2" s="1"/>
  <c r="AN994" i="2" s="1"/>
  <c r="AG994" i="2"/>
  <c r="AD386" i="2"/>
  <c r="AG438" i="2"/>
  <c r="AG549" i="2"/>
  <c r="AE549" i="2"/>
  <c r="AH578" i="2"/>
  <c r="AD580" i="2"/>
  <c r="AE590" i="2"/>
  <c r="AG607" i="2"/>
  <c r="AE643" i="2"/>
  <c r="AF643" i="2"/>
  <c r="U643" i="2"/>
  <c r="V643" i="2" s="1"/>
  <c r="W643" i="2" s="1"/>
  <c r="X643" i="2" s="1"/>
  <c r="AG238" i="2"/>
  <c r="U242" i="2"/>
  <c r="V242" i="2" s="1"/>
  <c r="AH246" i="2"/>
  <c r="U250" i="2"/>
  <c r="V250" i="2" s="1"/>
  <c r="W250" i="2" s="1"/>
  <c r="X250" i="2" s="1"/>
  <c r="AH264" i="2"/>
  <c r="AH265" i="2"/>
  <c r="U293" i="2"/>
  <c r="V293" i="2" s="1"/>
  <c r="W293" i="2" s="1"/>
  <c r="X293" i="2" s="1"/>
  <c r="AG295" i="2"/>
  <c r="U316" i="2"/>
  <c r="V316" i="2" s="1"/>
  <c r="U335" i="2"/>
  <c r="AG337" i="2"/>
  <c r="U345" i="2"/>
  <c r="U357" i="2"/>
  <c r="V357" i="2" s="1"/>
  <c r="U359" i="2"/>
  <c r="V359" i="2" s="1"/>
  <c r="W359" i="2" s="1"/>
  <c r="X359" i="2" s="1"/>
  <c r="AE363" i="2"/>
  <c r="AH368" i="2"/>
  <c r="AK368" i="2" s="1"/>
  <c r="AL368" i="2" s="1"/>
  <c r="AN368" i="2" s="1"/>
  <c r="U392" i="2"/>
  <c r="V392" i="2" s="1"/>
  <c r="W392" i="2" s="1"/>
  <c r="X392" i="2" s="1"/>
  <c r="AF394" i="2"/>
  <c r="AH397" i="2"/>
  <c r="AK397" i="2" s="1"/>
  <c r="AL397" i="2" s="1"/>
  <c r="AN397" i="2" s="1"/>
  <c r="AG401" i="2"/>
  <c r="AH419" i="2"/>
  <c r="U429" i="2"/>
  <c r="V429" i="2" s="1"/>
  <c r="W429" i="2" s="1"/>
  <c r="X429" i="2" s="1"/>
  <c r="AF452" i="2"/>
  <c r="AH471" i="2"/>
  <c r="U485" i="2"/>
  <c r="AF490" i="2"/>
  <c r="AD506" i="2"/>
  <c r="U515" i="2"/>
  <c r="V515" i="2" s="1"/>
  <c r="W515" i="2" s="1"/>
  <c r="X515" i="2" s="1"/>
  <c r="U535" i="2"/>
  <c r="V535" i="2" s="1"/>
  <c r="W535" i="2" s="1"/>
  <c r="X535" i="2" s="1"/>
  <c r="U549" i="2"/>
  <c r="V549" i="2" s="1"/>
  <c r="W549" i="2" s="1"/>
  <c r="X549" i="2" s="1"/>
  <c r="AH553" i="2"/>
  <c r="U553" i="2"/>
  <c r="V553" i="2" s="1"/>
  <c r="W553" i="2" s="1"/>
  <c r="X553" i="2" s="1"/>
  <c r="AH571" i="2"/>
  <c r="AH577" i="2"/>
  <c r="AG577" i="2"/>
  <c r="AE582" i="2"/>
  <c r="AF630" i="2"/>
  <c r="AF639" i="2"/>
  <c r="AG745" i="2"/>
  <c r="U745" i="2"/>
  <c r="V745" i="2" s="1"/>
  <c r="AG820" i="2"/>
  <c r="U820" i="2"/>
  <c r="V820" i="2" s="1"/>
  <c r="W820" i="2" s="1"/>
  <c r="X820" i="2" s="1"/>
  <c r="AF870" i="2"/>
  <c r="AE870" i="2"/>
  <c r="AD870" i="2"/>
  <c r="U870" i="2"/>
  <c r="AH898" i="2"/>
  <c r="U310" i="2"/>
  <c r="AG403" i="2"/>
  <c r="AG405" i="2"/>
  <c r="AE406" i="2"/>
  <c r="U454" i="2"/>
  <c r="V454" i="2" s="1"/>
  <c r="W454" i="2" s="1"/>
  <c r="X454" i="2" s="1"/>
  <c r="AE468" i="2"/>
  <c r="AE506" i="2"/>
  <c r="U517" i="2"/>
  <c r="V517" i="2" s="1"/>
  <c r="AH530" i="2"/>
  <c r="AG530" i="2"/>
  <c r="AH532" i="2"/>
  <c r="AD532" i="2"/>
  <c r="AH582" i="2"/>
  <c r="AD607" i="2"/>
  <c r="AH280" i="2"/>
  <c r="AK280" i="2" s="1"/>
  <c r="AL280" i="2" s="1"/>
  <c r="AN280" i="2" s="1"/>
  <c r="U314" i="2"/>
  <c r="V314" i="2" s="1"/>
  <c r="W314" i="2" s="1"/>
  <c r="X314" i="2" s="1"/>
  <c r="AE329" i="2"/>
  <c r="AH335" i="2"/>
  <c r="AH341" i="2"/>
  <c r="AK341" i="2" s="1"/>
  <c r="AL341" i="2" s="1"/>
  <c r="AN341" i="2" s="1"/>
  <c r="AH345" i="2"/>
  <c r="AK345" i="2" s="1"/>
  <c r="AL345" i="2" s="1"/>
  <c r="AN345" i="2" s="1"/>
  <c r="U361" i="2"/>
  <c r="V361" i="2" s="1"/>
  <c r="W361" i="2" s="1"/>
  <c r="X361" i="2" s="1"/>
  <c r="AH374" i="2"/>
  <c r="AK374" i="2" s="1"/>
  <c r="AL374" i="2" s="1"/>
  <c r="AN374" i="2" s="1"/>
  <c r="AD376" i="2"/>
  <c r="AF379" i="2"/>
  <c r="AD383" i="2"/>
  <c r="AE408" i="2"/>
  <c r="AE421" i="2"/>
  <c r="AD452" i="2"/>
  <c r="AE454" i="2"/>
  <c r="U458" i="2"/>
  <c r="V458" i="2" s="1"/>
  <c r="W458" i="2" s="1"/>
  <c r="X458" i="2" s="1"/>
  <c r="U464" i="2"/>
  <c r="V464" i="2" s="1"/>
  <c r="W464" i="2" s="1"/>
  <c r="X464" i="2" s="1"/>
  <c r="AE473" i="2"/>
  <c r="AD477" i="2"/>
  <c r="AF479" i="2"/>
  <c r="U487" i="2"/>
  <c r="V487" i="2" s="1"/>
  <c r="W487" i="2" s="1"/>
  <c r="X487" i="2" s="1"/>
  <c r="U489" i="2"/>
  <c r="V489" i="2" s="1"/>
  <c r="W489" i="2" s="1"/>
  <c r="AD496" i="2"/>
  <c r="AG499" i="2"/>
  <c r="AF506" i="2"/>
  <c r="AH518" i="2"/>
  <c r="AF530" i="2"/>
  <c r="U532" i="2"/>
  <c r="V532" i="2" s="1"/>
  <c r="AD547" i="2"/>
  <c r="AD565" i="2"/>
  <c r="AF567" i="2"/>
  <c r="U663" i="2"/>
  <c r="V663" i="2" s="1"/>
  <c r="W663" i="2" s="1"/>
  <c r="X663" i="2" s="1"/>
  <c r="AH663" i="2"/>
  <c r="AF743" i="2"/>
  <c r="AH743" i="2"/>
  <c r="AG743" i="2"/>
  <c r="U818" i="2"/>
  <c r="V818" i="2" s="1"/>
  <c r="AH818" i="2"/>
  <c r="AG818" i="2"/>
  <c r="AG215" i="2"/>
  <c r="AH221" i="2"/>
  <c r="U229" i="2"/>
  <c r="V229" i="2" s="1"/>
  <c r="W229" i="2" s="1"/>
  <c r="X229" i="2" s="1"/>
  <c r="U233" i="2"/>
  <c r="V233" i="2" s="1"/>
  <c r="W233" i="2" s="1"/>
  <c r="U244" i="2"/>
  <c r="V244" i="2" s="1"/>
  <c r="W244" i="2" s="1"/>
  <c r="X244" i="2" s="1"/>
  <c r="AD250" i="2"/>
  <c r="AD278" i="2"/>
  <c r="AF280" i="2"/>
  <c r="AH281" i="2"/>
  <c r="AK281" i="2" s="1"/>
  <c r="AL281" i="2" s="1"/>
  <c r="AM281" i="2" s="1"/>
  <c r="AN281" i="2" s="1"/>
  <c r="AH297" i="2"/>
  <c r="AG312" i="2"/>
  <c r="AE319" i="2"/>
  <c r="AG322" i="2"/>
  <c r="U329" i="2"/>
  <c r="V329" i="2" s="1"/>
  <c r="W329" i="2" s="1"/>
  <c r="X329" i="2" s="1"/>
  <c r="AE355" i="2"/>
  <c r="U374" i="2"/>
  <c r="V374" i="2" s="1"/>
  <c r="W374" i="2" s="1"/>
  <c r="X374" i="2" s="1"/>
  <c r="AG379" i="2"/>
  <c r="AG385" i="2"/>
  <c r="AG389" i="2"/>
  <c r="AH396" i="2"/>
  <c r="AF421" i="2"/>
  <c r="AF427" i="2"/>
  <c r="AF441" i="2"/>
  <c r="AG452" i="2"/>
  <c r="AF454" i="2"/>
  <c r="AG506" i="2"/>
  <c r="AE512" i="2"/>
  <c r="AH515" i="2"/>
  <c r="AE522" i="2"/>
  <c r="AF538" i="2"/>
  <c r="AD538" i="2"/>
  <c r="AG555" i="2"/>
  <c r="AG557" i="2"/>
  <c r="U565" i="2"/>
  <c r="V565" i="2" s="1"/>
  <c r="W565" i="2" s="1"/>
  <c r="X565" i="2" s="1"/>
  <c r="AH579" i="2"/>
  <c r="AD579" i="2"/>
  <c r="AD589" i="2"/>
  <c r="AG599" i="2"/>
  <c r="AF606" i="2"/>
  <c r="AG686" i="2"/>
  <c r="AH686" i="2"/>
  <c r="AK686" i="2" s="1"/>
  <c r="AL686" i="2" s="1"/>
  <c r="AN686" i="2" s="1"/>
  <c r="AD686" i="2"/>
  <c r="U686" i="2"/>
  <c r="V686" i="2" s="1"/>
  <c r="AF783" i="2"/>
  <c r="AH854" i="2"/>
  <c r="AG854" i="2"/>
  <c r="AF854" i="2"/>
  <c r="AE854" i="2"/>
  <c r="AD854" i="2"/>
  <c r="U854" i="2"/>
  <c r="V854" i="2" s="1"/>
  <c r="W854" i="2" s="1"/>
  <c r="X854" i="2" s="1"/>
  <c r="AH868" i="2"/>
  <c r="AG868" i="2"/>
  <c r="U189" i="2"/>
  <c r="V189" i="2" s="1"/>
  <c r="W189" i="2" s="1"/>
  <c r="X189" i="2" s="1"/>
  <c r="AH195" i="2"/>
  <c r="AK195" i="2" s="1"/>
  <c r="AL195" i="2" s="1"/>
  <c r="AM195" i="2" s="1"/>
  <c r="U197" i="2"/>
  <c r="V197" i="2" s="1"/>
  <c r="W197" i="2" s="1"/>
  <c r="X197" i="2" s="1"/>
  <c r="AF201" i="2"/>
  <c r="U205" i="2"/>
  <c r="V205" i="2" s="1"/>
  <c r="W205" i="2" s="1"/>
  <c r="X205" i="2" s="1"/>
  <c r="AF207" i="2"/>
  <c r="AH211" i="2"/>
  <c r="U215" i="2"/>
  <c r="AH219" i="2"/>
  <c r="AH225" i="2"/>
  <c r="AH260" i="2"/>
  <c r="AE290" i="2"/>
  <c r="AG316" i="2"/>
  <c r="U319" i="2"/>
  <c r="V319" i="2" s="1"/>
  <c r="W319" i="2" s="1"/>
  <c r="AH321" i="2"/>
  <c r="U322" i="2"/>
  <c r="V322" i="2" s="1"/>
  <c r="W322" i="2" s="1"/>
  <c r="X322" i="2" s="1"/>
  <c r="AH327" i="2"/>
  <c r="AG343" i="2"/>
  <c r="AF345" i="2"/>
  <c r="AE357" i="2"/>
  <c r="AF367" i="2"/>
  <c r="U369" i="2"/>
  <c r="V369" i="2" s="1"/>
  <c r="W369" i="2" s="1"/>
  <c r="X369" i="2" s="1"/>
  <c r="AH379" i="2"/>
  <c r="U385" i="2"/>
  <c r="V385" i="2" s="1"/>
  <c r="W385" i="2" s="1"/>
  <c r="X385" i="2" s="1"/>
  <c r="AE392" i="2"/>
  <c r="U396" i="2"/>
  <c r="V396" i="2" s="1"/>
  <c r="W396" i="2" s="1"/>
  <c r="X396" i="2" s="1"/>
  <c r="AG408" i="2"/>
  <c r="AG421" i="2"/>
  <c r="AD425" i="2"/>
  <c r="AE447" i="2"/>
  <c r="AD449" i="2"/>
  <c r="AH452" i="2"/>
  <c r="AD454" i="2"/>
  <c r="AE464" i="2"/>
  <c r="AG472" i="2"/>
  <c r="AE484" i="2"/>
  <c r="AF489" i="2"/>
  <c r="AD494" i="2"/>
  <c r="U496" i="2"/>
  <c r="V496" i="2" s="1"/>
  <c r="W496" i="2" s="1"/>
  <c r="X496" i="2" s="1"/>
  <c r="AH498" i="2"/>
  <c r="AD501" i="2"/>
  <c r="U505" i="2"/>
  <c r="V505" i="2" s="1"/>
  <c r="W505" i="2" s="1"/>
  <c r="X505" i="2" s="1"/>
  <c r="AF522" i="2"/>
  <c r="AF528" i="2"/>
  <c r="U530" i="2"/>
  <c r="V530" i="2" s="1"/>
  <c r="W530" i="2" s="1"/>
  <c r="X530" i="2" s="1"/>
  <c r="U538" i="2"/>
  <c r="V538" i="2" s="1"/>
  <c r="W538" i="2" s="1"/>
  <c r="X538" i="2" s="1"/>
  <c r="AE544" i="2"/>
  <c r="AH549" i="2"/>
  <c r="U581" i="2"/>
  <c r="AH583" i="2"/>
  <c r="AE627" i="2"/>
  <c r="U627" i="2"/>
  <c r="V627" i="2" s="1"/>
  <c r="AH635" i="2"/>
  <c r="AF635" i="2"/>
  <c r="AD639" i="2"/>
  <c r="AG754" i="2"/>
  <c r="AG942" i="2"/>
  <c r="AF942" i="2"/>
  <c r="AD295" i="2"/>
  <c r="AH329" i="2"/>
  <c r="AD337" i="2"/>
  <c r="AF348" i="2"/>
  <c r="AH357" i="2"/>
  <c r="AK357" i="2" s="1"/>
  <c r="AL357" i="2" s="1"/>
  <c r="AN357" i="2" s="1"/>
  <c r="AE374" i="2"/>
  <c r="AF392" i="2"/>
  <c r="AH401" i="2"/>
  <c r="AK401" i="2" s="1"/>
  <c r="AL401" i="2" s="1"/>
  <c r="AN401" i="2" s="1"/>
  <c r="AH407" i="2"/>
  <c r="AF416" i="2"/>
  <c r="AE425" i="2"/>
  <c r="AH466" i="2"/>
  <c r="AF468" i="2"/>
  <c r="AE472" i="2"/>
  <c r="AG476" i="2"/>
  <c r="AE501" i="2"/>
  <c r="AD517" i="2"/>
  <c r="AE519" i="2"/>
  <c r="AG528" i="2"/>
  <c r="AE561" i="2"/>
  <c r="AD571" i="2"/>
  <c r="AE604" i="2"/>
  <c r="AH620" i="2"/>
  <c r="AE686" i="2"/>
  <c r="AD781" i="2"/>
  <c r="AD360" i="2"/>
  <c r="AG373" i="2"/>
  <c r="AG392" i="2"/>
  <c r="AE411" i="2"/>
  <c r="AE430" i="2"/>
  <c r="AE517" i="2"/>
  <c r="AE534" i="2"/>
  <c r="AE556" i="2"/>
  <c r="AE558" i="2"/>
  <c r="AE606" i="2"/>
  <c r="AG606" i="2"/>
  <c r="AH623" i="2"/>
  <c r="AF623" i="2"/>
  <c r="U623" i="2"/>
  <c r="V623" i="2" s="1"/>
  <c r="AD235" i="2"/>
  <c r="AD259" i="2"/>
  <c r="AE264" i="2"/>
  <c r="U276" i="2"/>
  <c r="V276" i="2" s="1"/>
  <c r="W276" i="2" s="1"/>
  <c r="X276" i="2" s="1"/>
  <c r="AH295" i="2"/>
  <c r="AG309" i="2"/>
  <c r="U317" i="2"/>
  <c r="V317" i="2" s="1"/>
  <c r="W317" i="2" s="1"/>
  <c r="X317" i="2" s="1"/>
  <c r="AG327" i="2"/>
  <c r="AF329" i="2"/>
  <c r="AF332" i="2"/>
  <c r="AH337" i="2"/>
  <c r="AK337" i="2" s="1"/>
  <c r="AL337" i="2" s="1"/>
  <c r="AN337" i="2" s="1"/>
  <c r="AF352" i="2"/>
  <c r="U360" i="2"/>
  <c r="V360" i="2" s="1"/>
  <c r="W360" i="2" s="1"/>
  <c r="AG363" i="2"/>
  <c r="AE395" i="2"/>
  <c r="AD416" i="2"/>
  <c r="U430" i="2"/>
  <c r="V430" i="2" s="1"/>
  <c r="W430" i="2" s="1"/>
  <c r="X430" i="2" s="1"/>
  <c r="AE436" i="2"/>
  <c r="AG439" i="2"/>
  <c r="AD456" i="2"/>
  <c r="AD468" i="2"/>
  <c r="AH472" i="2"/>
  <c r="U480" i="2"/>
  <c r="V480" i="2" s="1"/>
  <c r="W480" i="2" s="1"/>
  <c r="X480" i="2" s="1"/>
  <c r="AF503" i="2"/>
  <c r="AD509" i="2"/>
  <c r="AF517" i="2"/>
  <c r="AD525" i="2"/>
  <c r="U534" i="2"/>
  <c r="V534" i="2" s="1"/>
  <c r="W534" i="2" s="1"/>
  <c r="X534" i="2" s="1"/>
  <c r="AF550" i="2"/>
  <c r="AE554" i="2"/>
  <c r="U556" i="2"/>
  <c r="V556" i="2" s="1"/>
  <c r="W556" i="2" s="1"/>
  <c r="X556" i="2" s="1"/>
  <c r="U558" i="2"/>
  <c r="V558" i="2" s="1"/>
  <c r="W558" i="2" s="1"/>
  <c r="X558" i="2" s="1"/>
  <c r="AF561" i="2"/>
  <c r="AE565" i="2"/>
  <c r="AH567" i="2"/>
  <c r="AG574" i="2"/>
  <c r="AE574" i="2"/>
  <c r="AF678" i="2"/>
  <c r="U737" i="2"/>
  <c r="V737" i="2" s="1"/>
  <c r="W737" i="2" s="1"/>
  <c r="X737" i="2" s="1"/>
  <c r="AF737" i="2"/>
  <c r="AE737" i="2"/>
  <c r="AG772" i="2"/>
  <c r="U772" i="2"/>
  <c r="V772" i="2" s="1"/>
  <c r="W772" i="2" s="1"/>
  <c r="X772" i="2" s="1"/>
  <c r="AE953" i="2"/>
  <c r="AG319" i="2"/>
  <c r="AF322" i="2"/>
  <c r="AE354" i="2"/>
  <c r="AE463" i="2"/>
  <c r="AH495" i="2"/>
  <c r="AG496" i="2"/>
  <c r="AF576" i="2"/>
  <c r="U576" i="2"/>
  <c r="V576" i="2" s="1"/>
  <c r="W576" i="2" s="1"/>
  <c r="X576" i="2" s="1"/>
  <c r="AH619" i="2"/>
  <c r="AD619" i="2"/>
  <c r="U906" i="2"/>
  <c r="V906" i="2" s="1"/>
  <c r="AE906" i="2"/>
  <c r="AG938" i="2"/>
  <c r="AE938" i="2"/>
  <c r="U938" i="2"/>
  <c r="AE207" i="2"/>
  <c r="U220" i="2"/>
  <c r="V220" i="2" s="1"/>
  <c r="W220" i="2" s="1"/>
  <c r="X220" i="2" s="1"/>
  <c r="U228" i="2"/>
  <c r="V228" i="2" s="1"/>
  <c r="AF245" i="2"/>
  <c r="U259" i="2"/>
  <c r="V259" i="2" s="1"/>
  <c r="W259" i="2" s="1"/>
  <c r="X259" i="2" s="1"/>
  <c r="AF261" i="2"/>
  <c r="AH276" i="2"/>
  <c r="AK276" i="2" s="1"/>
  <c r="AL276" i="2" s="1"/>
  <c r="AN276" i="2" s="1"/>
  <c r="AD280" i="2"/>
  <c r="AH286" i="2"/>
  <c r="AK286" i="2" s="1"/>
  <c r="AL286" i="2" s="1"/>
  <c r="AN286" i="2" s="1"/>
  <c r="AG296" i="2"/>
  <c r="U311" i="2"/>
  <c r="V311" i="2" s="1"/>
  <c r="W311" i="2" s="1"/>
  <c r="X311" i="2" s="1"/>
  <c r="AH322" i="2"/>
  <c r="U344" i="2"/>
  <c r="V344" i="2" s="1"/>
  <c r="W344" i="2" s="1"/>
  <c r="X344" i="2" s="1"/>
  <c r="U358" i="2"/>
  <c r="V358" i="2" s="1"/>
  <c r="W358" i="2" s="1"/>
  <c r="X358" i="2" s="1"/>
  <c r="AE376" i="2"/>
  <c r="AD391" i="2"/>
  <c r="AE405" i="2"/>
  <c r="AD418" i="2"/>
  <c r="AD441" i="2"/>
  <c r="AF447" i="2"/>
  <c r="AF449" i="2"/>
  <c r="AF451" i="2"/>
  <c r="AD459" i="2"/>
  <c r="U463" i="2"/>
  <c r="V463" i="2" s="1"/>
  <c r="W463" i="2" s="1"/>
  <c r="X463" i="2" s="1"/>
  <c r="AD465" i="2"/>
  <c r="AH468" i="2"/>
  <c r="AD472" i="2"/>
  <c r="AF474" i="2"/>
  <c r="AH488" i="2"/>
  <c r="AG490" i="2"/>
  <c r="AD493" i="2"/>
  <c r="U495" i="2"/>
  <c r="U531" i="2"/>
  <c r="V531" i="2" s="1"/>
  <c r="W531" i="2" s="1"/>
  <c r="X531" i="2" s="1"/>
  <c r="AG538" i="2"/>
  <c r="AF544" i="2"/>
  <c r="AF564" i="2"/>
  <c r="AD564" i="2"/>
  <c r="AF594" i="2"/>
  <c r="U636" i="2"/>
  <c r="V636" i="2" s="1"/>
  <c r="W636" i="2" s="1"/>
  <c r="X636" i="2" s="1"/>
  <c r="AH636" i="2"/>
  <c r="AH649" i="2"/>
  <c r="U649" i="2"/>
  <c r="AF837" i="2"/>
  <c r="AH846" i="2"/>
  <c r="U527" i="2"/>
  <c r="V527" i="2" s="1"/>
  <c r="W527" i="2" s="1"/>
  <c r="X527" i="2" s="1"/>
  <c r="AH547" i="2"/>
  <c r="AH560" i="2"/>
  <c r="AF619" i="2"/>
  <c r="AF638" i="2"/>
  <c r="AD641" i="2"/>
  <c r="U647" i="2"/>
  <c r="V647" i="2" s="1"/>
  <c r="W647" i="2" s="1"/>
  <c r="X647" i="2" s="1"/>
  <c r="AG651" i="2"/>
  <c r="AE652" i="2"/>
  <c r="AD657" i="2"/>
  <c r="AH659" i="2"/>
  <c r="AH667" i="2"/>
  <c r="AK667" i="2" s="1"/>
  <c r="AL667" i="2" s="1"/>
  <c r="AN667" i="2" s="1"/>
  <c r="AD678" i="2"/>
  <c r="AH682" i="2"/>
  <c r="AK682" i="2" s="1"/>
  <c r="AL682" i="2" s="1"/>
  <c r="AN682" i="2" s="1"/>
  <c r="AG719" i="2"/>
  <c r="U735" i="2"/>
  <c r="V735" i="2" s="1"/>
  <c r="W735" i="2" s="1"/>
  <c r="X735" i="2" s="1"/>
  <c r="U743" i="2"/>
  <c r="V743" i="2" s="1"/>
  <c r="AH749" i="2"/>
  <c r="AF761" i="2"/>
  <c r="U770" i="2"/>
  <c r="V770" i="2" s="1"/>
  <c r="W770" i="2" s="1"/>
  <c r="X770" i="2" s="1"/>
  <c r="U780" i="2"/>
  <c r="V780" i="2" s="1"/>
  <c r="AG789" i="2"/>
  <c r="AG804" i="2"/>
  <c r="U814" i="2"/>
  <c r="V814" i="2" s="1"/>
  <c r="W814" i="2" s="1"/>
  <c r="X814" i="2" s="1"/>
  <c r="U822" i="2"/>
  <c r="V822" i="2" s="1"/>
  <c r="W822" i="2" s="1"/>
  <c r="X822" i="2" s="1"/>
  <c r="U824" i="2"/>
  <c r="V824" i="2" s="1"/>
  <c r="W824" i="2" s="1"/>
  <c r="X824" i="2" s="1"/>
  <c r="AH849" i="2"/>
  <c r="AH857" i="2"/>
  <c r="AK857" i="2" s="1"/>
  <c r="AL857" i="2" s="1"/>
  <c r="AM857" i="2" s="1"/>
  <c r="AN857" i="2" s="1"/>
  <c r="AF859" i="2"/>
  <c r="AD862" i="2"/>
  <c r="AH875" i="2"/>
  <c r="AD878" i="2"/>
  <c r="AG888" i="2"/>
  <c r="AE914" i="2"/>
  <c r="AG918" i="2"/>
  <c r="AF924" i="2"/>
  <c r="AE930" i="2"/>
  <c r="U936" i="2"/>
  <c r="V936" i="2" s="1"/>
  <c r="W936" i="2" s="1"/>
  <c r="X936" i="2" s="1"/>
  <c r="AG946" i="2"/>
  <c r="AD953" i="2"/>
  <c r="AE973" i="2"/>
  <c r="AE988" i="2"/>
  <c r="AG1207" i="2"/>
  <c r="AH1207" i="2"/>
  <c r="AF1207" i="2"/>
  <c r="AE1207" i="2"/>
  <c r="U547" i="2"/>
  <c r="V547" i="2" s="1"/>
  <c r="W547" i="2" s="1"/>
  <c r="X547" i="2" s="1"/>
  <c r="AF556" i="2"/>
  <c r="AE589" i="2"/>
  <c r="U601" i="2"/>
  <c r="V601" i="2" s="1"/>
  <c r="AF608" i="2"/>
  <c r="AE625" i="2"/>
  <c r="AF641" i="2"/>
  <c r="AF652" i="2"/>
  <c r="AF657" i="2"/>
  <c r="AF663" i="2"/>
  <c r="U712" i="2"/>
  <c r="AG714" i="2"/>
  <c r="AG730" i="2"/>
  <c r="U749" i="2"/>
  <c r="V749" i="2" s="1"/>
  <c r="W749" i="2" s="1"/>
  <c r="X749" i="2" s="1"/>
  <c r="AF754" i="2"/>
  <c r="AF759" i="2"/>
  <c r="AE764" i="2"/>
  <c r="U778" i="2"/>
  <c r="AD783" i="2"/>
  <c r="AF793" i="2"/>
  <c r="AH797" i="2"/>
  <c r="AG812" i="2"/>
  <c r="AD837" i="2"/>
  <c r="U862" i="2"/>
  <c r="V862" i="2" s="1"/>
  <c r="W862" i="2" s="1"/>
  <c r="X862" i="2" s="1"/>
  <c r="AH866" i="2"/>
  <c r="AH872" i="2"/>
  <c r="U878" i="2"/>
  <c r="V878" i="2" s="1"/>
  <c r="U887" i="2"/>
  <c r="AE898" i="2"/>
  <c r="AG914" i="2"/>
  <c r="AG930" i="2"/>
  <c r="AH948" i="2"/>
  <c r="AH950" i="2"/>
  <c r="AD971" i="2"/>
  <c r="AF973" i="2"/>
  <c r="AH1162" i="2"/>
  <c r="AG1162" i="2"/>
  <c r="AF1162" i="2"/>
  <c r="AE1162" i="2"/>
  <c r="AD1162" i="2"/>
  <c r="AH1256" i="2"/>
  <c r="AF1256" i="2"/>
  <c r="U1256" i="2"/>
  <c r="V1256" i="2" s="1"/>
  <c r="W1256" i="2" s="1"/>
  <c r="X1256" i="2" s="1"/>
  <c r="AG1280" i="2"/>
  <c r="AG589" i="2"/>
  <c r="AG635" i="2"/>
  <c r="AH643" i="2"/>
  <c r="AG665" i="2"/>
  <c r="AE669" i="2"/>
  <c r="AG690" i="2"/>
  <c r="AH698" i="2"/>
  <c r="AK698" i="2" s="1"/>
  <c r="AL698" i="2" s="1"/>
  <c r="AN698" i="2" s="1"/>
  <c r="AG718" i="2"/>
  <c r="AG722" i="2"/>
  <c r="AH735" i="2"/>
  <c r="AG774" i="2"/>
  <c r="AG776" i="2"/>
  <c r="AH789" i="2"/>
  <c r="AH791" i="2"/>
  <c r="AE799" i="2"/>
  <c r="AF807" i="2"/>
  <c r="AE812" i="2"/>
  <c r="AD830" i="2"/>
  <c r="AG839" i="2"/>
  <c r="AD846" i="2"/>
  <c r="AH876" i="2"/>
  <c r="AD879" i="2"/>
  <c r="AF885" i="2"/>
  <c r="AG898" i="2"/>
  <c r="AG908" i="2"/>
  <c r="AH914" i="2"/>
  <c r="AD917" i="2"/>
  <c r="AF917" i="2"/>
  <c r="AG921" i="2"/>
  <c r="AF938" i="2"/>
  <c r="AE946" i="2"/>
  <c r="AH967" i="2"/>
  <c r="AG973" i="2"/>
  <c r="AG1101" i="2"/>
  <c r="AF1101" i="2"/>
  <c r="AE1101" i="2"/>
  <c r="AD1188" i="2"/>
  <c r="AH1205" i="2"/>
  <c r="U1205" i="2"/>
  <c r="V1205" i="2" s="1"/>
  <c r="W1205" i="2" s="1"/>
  <c r="X1205" i="2" s="1"/>
  <c r="AG1243" i="2"/>
  <c r="U1295" i="2"/>
  <c r="V1295" i="2" s="1"/>
  <c r="W1295" i="2" s="1"/>
  <c r="X1295" i="2" s="1"/>
  <c r="AG627" i="2"/>
  <c r="AF636" i="2"/>
  <c r="AD684" i="2"/>
  <c r="AE692" i="2"/>
  <c r="AG702" i="2"/>
  <c r="AG706" i="2"/>
  <c r="AG735" i="2"/>
  <c r="AF745" i="2"/>
  <c r="AG780" i="2"/>
  <c r="AD793" i="2"/>
  <c r="AG805" i="2"/>
  <c r="AG822" i="2"/>
  <c r="AF824" i="2"/>
  <c r="AG833" i="2"/>
  <c r="AG885" i="2"/>
  <c r="AG902" i="2"/>
  <c r="AG911" i="2"/>
  <c r="AH1160" i="2"/>
  <c r="U1160" i="2"/>
  <c r="V1160" i="2" s="1"/>
  <c r="W1160" i="2" s="1"/>
  <c r="X1160" i="2" s="1"/>
  <c r="AG623" i="2"/>
  <c r="U631" i="2"/>
  <c r="V631" i="2" s="1"/>
  <c r="W631" i="2" s="1"/>
  <c r="X631" i="2" s="1"/>
  <c r="AG649" i="2"/>
  <c r="AE654" i="2"/>
  <c r="AH665" i="2"/>
  <c r="U668" i="2"/>
  <c r="V668" i="2" s="1"/>
  <c r="W668" i="2" s="1"/>
  <c r="X668" i="2" s="1"/>
  <c r="AG669" i="2"/>
  <c r="U692" i="2"/>
  <c r="U706" i="2"/>
  <c r="V706" i="2" s="1"/>
  <c r="W706" i="2" s="1"/>
  <c r="X706" i="2" s="1"/>
  <c r="AH745" i="2"/>
  <c r="AG747" i="2"/>
  <c r="AD749" i="2"/>
  <c r="U753" i="2"/>
  <c r="V753" i="2" s="1"/>
  <c r="W753" i="2" s="1"/>
  <c r="X753" i="2" s="1"/>
  <c r="U757" i="2"/>
  <c r="V757" i="2" s="1"/>
  <c r="W757" i="2" s="1"/>
  <c r="X757" i="2" s="1"/>
  <c r="AG761" i="2"/>
  <c r="AH788" i="2"/>
  <c r="AE793" i="2"/>
  <c r="U803" i="2"/>
  <c r="V803" i="2" s="1"/>
  <c r="W803" i="2" s="1"/>
  <c r="X803" i="2" s="1"/>
  <c r="U805" i="2"/>
  <c r="V805" i="2" s="1"/>
  <c r="U828" i="2"/>
  <c r="V828" i="2" s="1"/>
  <c r="W828" i="2" s="1"/>
  <c r="X828" i="2" s="1"/>
  <c r="AG844" i="2"/>
  <c r="U850" i="2"/>
  <c r="V850" i="2" s="1"/>
  <c r="W850" i="2" s="1"/>
  <c r="X850" i="2" s="1"/>
  <c r="AH856" i="2"/>
  <c r="U858" i="2"/>
  <c r="V858" i="2" s="1"/>
  <c r="W858" i="2" s="1"/>
  <c r="X858" i="2" s="1"/>
  <c r="AH860" i="2"/>
  <c r="AE954" i="2"/>
  <c r="AD954" i="2"/>
  <c r="AG988" i="2"/>
  <c r="AF988" i="2"/>
  <c r="AG1114" i="2"/>
  <c r="AH1114" i="2"/>
  <c r="AF1114" i="2"/>
  <c r="AE1114" i="2"/>
  <c r="AD1114" i="2"/>
  <c r="AF1245" i="2"/>
  <c r="AE1245" i="2"/>
  <c r="AD1245" i="2"/>
  <c r="AD1280" i="2"/>
  <c r="AF1280" i="2"/>
  <c r="AG590" i="2"/>
  <c r="AH646" i="2"/>
  <c r="AF654" i="2"/>
  <c r="AE666" i="2"/>
  <c r="U679" i="2"/>
  <c r="V679" i="2" s="1"/>
  <c r="W679" i="2" s="1"/>
  <c r="X679" i="2" s="1"/>
  <c r="AH690" i="2"/>
  <c r="AK690" i="2" s="1"/>
  <c r="AL690" i="2" s="1"/>
  <c r="AN690" i="2" s="1"/>
  <c r="AF700" i="2"/>
  <c r="U702" i="2"/>
  <c r="V702" i="2" s="1"/>
  <c r="W702" i="2" s="1"/>
  <c r="X702" i="2" s="1"/>
  <c r="AG734" i="2"/>
  <c r="AH755" i="2"/>
  <c r="AH765" i="2"/>
  <c r="AF777" i="2"/>
  <c r="AF790" i="2"/>
  <c r="AH793" i="2"/>
  <c r="AG809" i="2"/>
  <c r="U832" i="2"/>
  <c r="V832" i="2" s="1"/>
  <c r="AE862" i="2"/>
  <c r="U897" i="2"/>
  <c r="V897" i="2" s="1"/>
  <c r="W897" i="2" s="1"/>
  <c r="X897" i="2" s="1"/>
  <c r="AG901" i="2"/>
  <c r="U913" i="2"/>
  <c r="V913" i="2" s="1"/>
  <c r="W913" i="2" s="1"/>
  <c r="X913" i="2" s="1"/>
  <c r="AD919" i="2"/>
  <c r="U919" i="2"/>
  <c r="V919" i="2" s="1"/>
  <c r="W919" i="2" s="1"/>
  <c r="X919" i="2" s="1"/>
  <c r="AD933" i="2"/>
  <c r="AH933" i="2"/>
  <c r="AK933" i="2" s="1"/>
  <c r="AL933" i="2" s="1"/>
  <c r="AN933" i="2" s="1"/>
  <c r="AF1186" i="2"/>
  <c r="U1186" i="2"/>
  <c r="V1186" i="2" s="1"/>
  <c r="W1186" i="2" s="1"/>
  <c r="X1186" i="2" s="1"/>
  <c r="AF1203" i="2"/>
  <c r="AG1203" i="2"/>
  <c r="AG1252" i="2"/>
  <c r="AE1252" i="2"/>
  <c r="U1252" i="2"/>
  <c r="V1252" i="2" s="1"/>
  <c r="AG654" i="2"/>
  <c r="AG876" i="2"/>
  <c r="AG893" i="2"/>
  <c r="AD895" i="2"/>
  <c r="U915" i="2"/>
  <c r="V915" i="2" s="1"/>
  <c r="W915" i="2" s="1"/>
  <c r="X915" i="2" s="1"/>
  <c r="AE1099" i="2"/>
  <c r="AG1143" i="2"/>
  <c r="AE1143" i="2"/>
  <c r="AH546" i="2"/>
  <c r="AH551" i="2"/>
  <c r="U555" i="2"/>
  <c r="V555" i="2" s="1"/>
  <c r="W555" i="2" s="1"/>
  <c r="X555" i="2" s="1"/>
  <c r="AD574" i="2"/>
  <c r="AD594" i="2"/>
  <c r="AD608" i="2"/>
  <c r="U642" i="2"/>
  <c r="V642" i="2" s="1"/>
  <c r="W642" i="2" s="1"/>
  <c r="X642" i="2" s="1"/>
  <c r="AE651" i="2"/>
  <c r="U664" i="2"/>
  <c r="V664" i="2" s="1"/>
  <c r="W664" i="2" s="1"/>
  <c r="X664" i="2" s="1"/>
  <c r="AH670" i="2"/>
  <c r="AK670" i="2" s="1"/>
  <c r="AL670" i="2" s="1"/>
  <c r="AN670" i="2" s="1"/>
  <c r="AE672" i="2"/>
  <c r="AF677" i="2"/>
  <c r="AG679" i="2"/>
  <c r="AH681" i="2"/>
  <c r="AK681" i="2" s="1"/>
  <c r="AL681" i="2" s="1"/>
  <c r="AN681" i="2" s="1"/>
  <c r="AD690" i="2"/>
  <c r="AD700" i="2"/>
  <c r="AD718" i="2"/>
  <c r="AD722" i="2"/>
  <c r="AH732" i="2"/>
  <c r="U734" i="2"/>
  <c r="V734" i="2" s="1"/>
  <c r="W734" i="2" s="1"/>
  <c r="X734" i="2" s="1"/>
  <c r="AG738" i="2"/>
  <c r="AE761" i="2"/>
  <c r="AE767" i="2"/>
  <c r="AH771" i="2"/>
  <c r="U784" i="2"/>
  <c r="V784" i="2" s="1"/>
  <c r="W784" i="2" s="1"/>
  <c r="X784" i="2" s="1"/>
  <c r="AD799" i="2"/>
  <c r="AD809" i="2"/>
  <c r="U815" i="2"/>
  <c r="V815" i="2" s="1"/>
  <c r="W815" i="2" s="1"/>
  <c r="X815" i="2" s="1"/>
  <c r="AD817" i="2"/>
  <c r="AH819" i="2"/>
  <c r="AG821" i="2"/>
  <c r="AE830" i="2"/>
  <c r="AF860" i="2"/>
  <c r="AG862" i="2"/>
  <c r="AE865" i="2"/>
  <c r="U869" i="2"/>
  <c r="V869" i="2" s="1"/>
  <c r="W869" i="2" s="1"/>
  <c r="X869" i="2" s="1"/>
  <c r="AG870" i="2"/>
  <c r="AG878" i="2"/>
  <c r="AH879" i="2"/>
  <c r="AK879" i="2" s="1"/>
  <c r="AL879" i="2" s="1"/>
  <c r="AN879" i="2" s="1"/>
  <c r="AF895" i="2"/>
  <c r="U899" i="2"/>
  <c r="V899" i="2" s="1"/>
  <c r="W899" i="2" s="1"/>
  <c r="X899" i="2" s="1"/>
  <c r="U901" i="2"/>
  <c r="V901" i="2" s="1"/>
  <c r="W901" i="2" s="1"/>
  <c r="X901" i="2" s="1"/>
  <c r="U907" i="2"/>
  <c r="V907" i="2" s="1"/>
  <c r="W907" i="2" s="1"/>
  <c r="X907" i="2" s="1"/>
  <c r="AD921" i="2"/>
  <c r="AD935" i="2"/>
  <c r="U937" i="2"/>
  <c r="V937" i="2" s="1"/>
  <c r="W937" i="2" s="1"/>
  <c r="X937" i="2" s="1"/>
  <c r="AG952" i="2"/>
  <c r="U954" i="2"/>
  <c r="AE1089" i="2"/>
  <c r="X1095" i="2"/>
  <c r="V1095" i="2"/>
  <c r="AH1158" i="2"/>
  <c r="AD1158" i="2"/>
  <c r="AF546" i="2"/>
  <c r="AG598" i="2"/>
  <c r="AD635" i="2"/>
  <c r="U646" i="2"/>
  <c r="V646" i="2" s="1"/>
  <c r="W646" i="2" s="1"/>
  <c r="X646" i="2" s="1"/>
  <c r="U672" i="2"/>
  <c r="V672" i="2" s="1"/>
  <c r="W672" i="2" s="1"/>
  <c r="X672" i="2" s="1"/>
  <c r="AG677" i="2"/>
  <c r="AG683" i="2"/>
  <c r="U685" i="2"/>
  <c r="V685" i="2" s="1"/>
  <c r="W685" i="2" s="1"/>
  <c r="X685" i="2" s="1"/>
  <c r="AF690" i="2"/>
  <c r="AG692" i="2"/>
  <c r="AD702" i="2"/>
  <c r="AD706" i="2"/>
  <c r="AF722" i="2"/>
  <c r="U738" i="2"/>
  <c r="V738" i="2" s="1"/>
  <c r="W738" i="2" s="1"/>
  <c r="X738" i="2" s="1"/>
  <c r="AE740" i="2"/>
  <c r="AH742" i="2"/>
  <c r="AG746" i="2"/>
  <c r="AG750" i="2"/>
  <c r="AH751" i="2"/>
  <c r="AF753" i="2"/>
  <c r="AG755" i="2"/>
  <c r="AH761" i="2"/>
  <c r="U767" i="2"/>
  <c r="V767" i="2" s="1"/>
  <c r="W767" i="2" s="1"/>
  <c r="X767" i="2" s="1"/>
  <c r="U771" i="2"/>
  <c r="V771" i="2" s="1"/>
  <c r="W771" i="2" s="1"/>
  <c r="X771" i="2" s="1"/>
  <c r="U773" i="2"/>
  <c r="V773" i="2" s="1"/>
  <c r="U777" i="2"/>
  <c r="V777" i="2" s="1"/>
  <c r="AH790" i="2"/>
  <c r="AH794" i="2"/>
  <c r="AD797" i="2"/>
  <c r="AF799" i="2"/>
  <c r="AH805" i="2"/>
  <c r="AE809" i="2"/>
  <c r="U819" i="2"/>
  <c r="V819" i="2" s="1"/>
  <c r="W819" i="2" s="1"/>
  <c r="X819" i="2" s="1"/>
  <c r="U821" i="2"/>
  <c r="V821" i="2" s="1"/>
  <c r="U823" i="2"/>
  <c r="AE827" i="2"/>
  <c r="AF830" i="2"/>
  <c r="U834" i="2"/>
  <c r="V834" i="2" s="1"/>
  <c r="U838" i="2"/>
  <c r="V838" i="2" s="1"/>
  <c r="W838" i="2" s="1"/>
  <c r="X838" i="2" s="1"/>
  <c r="AH840" i="2"/>
  <c r="AD843" i="2"/>
  <c r="U845" i="2"/>
  <c r="V845" i="2" s="1"/>
  <c r="W845" i="2" s="1"/>
  <c r="X845" i="2" s="1"/>
  <c r="AE849" i="2"/>
  <c r="AH853" i="2"/>
  <c r="AG860" i="2"/>
  <c r="AH862" i="2"/>
  <c r="AH878" i="2"/>
  <c r="AE889" i="2"/>
  <c r="U905" i="2"/>
  <c r="V905" i="2" s="1"/>
  <c r="W905" i="2" s="1"/>
  <c r="X905" i="2" s="1"/>
  <c r="AD911" i="2"/>
  <c r="AH917" i="2"/>
  <c r="AE921" i="2"/>
  <c r="AF925" i="2"/>
  <c r="AD927" i="2"/>
  <c r="U933" i="2"/>
  <c r="V933" i="2" s="1"/>
  <c r="W933" i="2" s="1"/>
  <c r="X933" i="2" s="1"/>
  <c r="AH970" i="2"/>
  <c r="AE970" i="2"/>
  <c r="AD970" i="2"/>
  <c r="AH1050" i="2"/>
  <c r="AE1050" i="2"/>
  <c r="AF548" i="2"/>
  <c r="AF557" i="2"/>
  <c r="U602" i="2"/>
  <c r="V602" i="2" s="1"/>
  <c r="AG618" i="2"/>
  <c r="U626" i="2"/>
  <c r="V626" i="2" s="1"/>
  <c r="W626" i="2" s="1"/>
  <c r="X626" i="2" s="1"/>
  <c r="AH630" i="2"/>
  <c r="AE635" i="2"/>
  <c r="AH651" i="2"/>
  <c r="AH655" i="2"/>
  <c r="AG660" i="2"/>
  <c r="AD676" i="2"/>
  <c r="AG681" i="2"/>
  <c r="AD683" i="2"/>
  <c r="AH687" i="2"/>
  <c r="AK687" i="2" s="1"/>
  <c r="AL687" i="2" s="1"/>
  <c r="AN687" i="2" s="1"/>
  <c r="AF706" i="2"/>
  <c r="AH722" i="2"/>
  <c r="AF727" i="2"/>
  <c r="U740" i="2"/>
  <c r="V740" i="2" s="1"/>
  <c r="W740" i="2" s="1"/>
  <c r="X740" i="2" s="1"/>
  <c r="U742" i="2"/>
  <c r="V742" i="2" s="1"/>
  <c r="U744" i="2"/>
  <c r="V744" i="2" s="1"/>
  <c r="W744" i="2" s="1"/>
  <c r="X744" i="2" s="1"/>
  <c r="U746" i="2"/>
  <c r="V746" i="2" s="1"/>
  <c r="W746" i="2" s="1"/>
  <c r="X746" i="2" s="1"/>
  <c r="AG751" i="2"/>
  <c r="AG765" i="2"/>
  <c r="AG777" i="2"/>
  <c r="AH781" i="2"/>
  <c r="AE784" i="2"/>
  <c r="AG790" i="2"/>
  <c r="U794" i="2"/>
  <c r="V794" i="2" s="1"/>
  <c r="AG799" i="2"/>
  <c r="AG830" i="2"/>
  <c r="U853" i="2"/>
  <c r="V853" i="2" s="1"/>
  <c r="W853" i="2" s="1"/>
  <c r="X853" i="2" s="1"/>
  <c r="AG856" i="2"/>
  <c r="U875" i="2"/>
  <c r="V875" i="2" s="1"/>
  <c r="W875" i="2" s="1"/>
  <c r="X875" i="2" s="1"/>
  <c r="AD903" i="2"/>
  <c r="AF909" i="2"/>
  <c r="AF911" i="2"/>
  <c r="AF921" i="2"/>
  <c r="AF927" i="2"/>
  <c r="U935" i="2"/>
  <c r="V935" i="2" s="1"/>
  <c r="AF937" i="2"/>
  <c r="AG947" i="2"/>
  <c r="U962" i="2"/>
  <c r="V962" i="2" s="1"/>
  <c r="W962" i="2" s="1"/>
  <c r="X962" i="2" s="1"/>
  <c r="AE968" i="2"/>
  <c r="AH968" i="2"/>
  <c r="AD653" i="2"/>
  <c r="AF689" i="2"/>
  <c r="AH706" i="2"/>
  <c r="AH717" i="2"/>
  <c r="AH725" i="2"/>
  <c r="AH758" i="2"/>
  <c r="AD790" i="2"/>
  <c r="AG792" i="2"/>
  <c r="AF802" i="2"/>
  <c r="AH808" i="2"/>
  <c r="AG813" i="2"/>
  <c r="AH830" i="2"/>
  <c r="AF843" i="2"/>
  <c r="AG871" i="2"/>
  <c r="AH899" i="2"/>
  <c r="AF901" i="2"/>
  <c r="AF905" i="2"/>
  <c r="AH911" i="2"/>
  <c r="AD924" i="2"/>
  <c r="AF954" i="2"/>
  <c r="AF956" i="2"/>
  <c r="AH1125" i="2"/>
  <c r="U1125" i="2"/>
  <c r="V1125" i="2" s="1"/>
  <c r="W1125" i="2" s="1"/>
  <c r="X1125" i="2" s="1"/>
  <c r="AF620" i="2"/>
  <c r="AE641" i="2"/>
  <c r="AF646" i="2"/>
  <c r="AG648" i="2"/>
  <c r="AE657" i="2"/>
  <c r="AG667" i="2"/>
  <c r="AG693" i="2"/>
  <c r="AD717" i="2"/>
  <c r="U725" i="2"/>
  <c r="V725" i="2" s="1"/>
  <c r="W725" i="2" s="1"/>
  <c r="X725" i="2" s="1"/>
  <c r="U758" i="2"/>
  <c r="V758" i="2" s="1"/>
  <c r="AH762" i="2"/>
  <c r="AD764" i="2"/>
  <c r="AD765" i="2"/>
  <c r="AD777" i="2"/>
  <c r="AG796" i="2"/>
  <c r="U802" i="2"/>
  <c r="V802" i="2" s="1"/>
  <c r="W802" i="2" s="1"/>
  <c r="X802" i="2" s="1"/>
  <c r="U808" i="2"/>
  <c r="V808" i="2" s="1"/>
  <c r="W808" i="2" s="1"/>
  <c r="X808" i="2" s="1"/>
  <c r="AD815" i="2"/>
  <c r="U871" i="2"/>
  <c r="V871" i="2" s="1"/>
  <c r="W871" i="2" s="1"/>
  <c r="X871" i="2" s="1"/>
  <c r="AF898" i="2"/>
  <c r="AD899" i="2"/>
  <c r="AH901" i="2"/>
  <c r="AH918" i="2"/>
  <c r="AH927" i="2"/>
  <c r="AF930" i="2"/>
  <c r="AF933" i="2"/>
  <c r="AG937" i="2"/>
  <c r="AF953" i="2"/>
  <c r="U604" i="2"/>
  <c r="V604" i="2" s="1"/>
  <c r="W604" i="2" s="1"/>
  <c r="U609" i="2"/>
  <c r="V609" i="2" s="1"/>
  <c r="W609" i="2" s="1"/>
  <c r="X609" i="2" s="1"/>
  <c r="AG619" i="2"/>
  <c r="U641" i="2"/>
  <c r="V641" i="2" s="1"/>
  <c r="W641" i="2" s="1"/>
  <c r="X641" i="2" s="1"/>
  <c r="AG652" i="2"/>
  <c r="U657" i="2"/>
  <c r="V657" i="2" s="1"/>
  <c r="W657" i="2" s="1"/>
  <c r="X657" i="2" s="1"/>
  <c r="U667" i="2"/>
  <c r="V667" i="2" s="1"/>
  <c r="W667" i="2" s="1"/>
  <c r="X667" i="2" s="1"/>
  <c r="AD672" i="2"/>
  <c r="U678" i="2"/>
  <c r="V678" i="2" s="1"/>
  <c r="AE684" i="2"/>
  <c r="U691" i="2"/>
  <c r="AG699" i="2"/>
  <c r="U709" i="2"/>
  <c r="V709" i="2" s="1"/>
  <c r="U721" i="2"/>
  <c r="V721" i="2" s="1"/>
  <c r="W721" i="2" s="1"/>
  <c r="X721" i="2" s="1"/>
  <c r="AH733" i="2"/>
  <c r="AD738" i="2"/>
  <c r="AH748" i="2"/>
  <c r="AD754" i="2"/>
  <c r="AD767" i="2"/>
  <c r="AE777" i="2"/>
  <c r="AE783" i="2"/>
  <c r="U800" i="2"/>
  <c r="V800" i="2" s="1"/>
  <c r="W800" i="2" s="1"/>
  <c r="X800" i="2" s="1"/>
  <c r="U806" i="2"/>
  <c r="V806" i="2" s="1"/>
  <c r="W806" i="2" s="1"/>
  <c r="X806" i="2" s="1"/>
  <c r="AH810" i="2"/>
  <c r="AD813" i="2"/>
  <c r="AF815" i="2"/>
  <c r="AH821" i="2"/>
  <c r="AE833" i="2"/>
  <c r="AE838" i="2"/>
  <c r="U842" i="2"/>
  <c r="V842" i="2" s="1"/>
  <c r="W842" i="2" s="1"/>
  <c r="X842" i="2" s="1"/>
  <c r="AG855" i="2"/>
  <c r="AD857" i="2"/>
  <c r="U863" i="2"/>
  <c r="V863" i="2" s="1"/>
  <c r="W863" i="2" s="1"/>
  <c r="X863" i="2" s="1"/>
  <c r="AG886" i="2"/>
  <c r="U892" i="2"/>
  <c r="V892" i="2" s="1"/>
  <c r="W892" i="2" s="1"/>
  <c r="X892" i="2" s="1"/>
  <c r="AH916" i="2"/>
  <c r="AH1192" i="2"/>
  <c r="U1192" i="2"/>
  <c r="V1192" i="2" s="1"/>
  <c r="W1192" i="2" s="1"/>
  <c r="X1192" i="2" s="1"/>
  <c r="AH1277" i="2"/>
  <c r="AF1277" i="2"/>
  <c r="AE1277" i="2"/>
  <c r="AD1277" i="2"/>
  <c r="AF672" i="2"/>
  <c r="AE796" i="2"/>
  <c r="AG815" i="2"/>
  <c r="AH1011" i="2"/>
  <c r="AF1011" i="2"/>
  <c r="AD1011" i="2"/>
  <c r="U591" i="2"/>
  <c r="V591" i="2" s="1"/>
  <c r="W591" i="2" s="1"/>
  <c r="X591" i="2" s="1"/>
  <c r="AG636" i="2"/>
  <c r="AG639" i="2"/>
  <c r="AH645" i="2"/>
  <c r="AF649" i="2"/>
  <c r="U661" i="2"/>
  <c r="V661" i="2" s="1"/>
  <c r="W661" i="2" s="1"/>
  <c r="X661" i="2" s="1"/>
  <c r="AG663" i="2"/>
  <c r="AG666" i="2"/>
  <c r="U669" i="2"/>
  <c r="V669" i="2" s="1"/>
  <c r="AD687" i="2"/>
  <c r="AE693" i="2"/>
  <c r="AE697" i="2"/>
  <c r="U703" i="2"/>
  <c r="V703" i="2" s="1"/>
  <c r="U707" i="2"/>
  <c r="V707" i="2" s="1"/>
  <c r="W707" i="2" s="1"/>
  <c r="X707" i="2" s="1"/>
  <c r="AG709" i="2"/>
  <c r="AD715" i="2"/>
  <c r="AG731" i="2"/>
  <c r="AD737" i="2"/>
  <c r="AG758" i="2"/>
  <c r="AH772" i="2"/>
  <c r="AH776" i="2"/>
  <c r="U787" i="2"/>
  <c r="V787" i="2" s="1"/>
  <c r="W787" i="2" s="1"/>
  <c r="X787" i="2" s="1"/>
  <c r="U789" i="2"/>
  <c r="V789" i="2" s="1"/>
  <c r="W789" i="2" s="1"/>
  <c r="X789" i="2" s="1"/>
  <c r="AF796" i="2"/>
  <c r="AG808" i="2"/>
  <c r="U812" i="2"/>
  <c r="AF818" i="2"/>
  <c r="AH820" i="2"/>
  <c r="AH844" i="2"/>
  <c r="AG865" i="2"/>
  <c r="AF868" i="2"/>
  <c r="AE885" i="2"/>
  <c r="AH902" i="2"/>
  <c r="AD906" i="2"/>
  <c r="AD908" i="2"/>
  <c r="U910" i="2"/>
  <c r="V910" i="2" s="1"/>
  <c r="W910" i="2" s="1"/>
  <c r="X910" i="2" s="1"/>
  <c r="U912" i="2"/>
  <c r="V912" i="2" s="1"/>
  <c r="W912" i="2" s="1"/>
  <c r="X912" i="2" s="1"/>
  <c r="AH938" i="2"/>
  <c r="AD938" i="2"/>
  <c r="AH942" i="2"/>
  <c r="AD942" i="2"/>
  <c r="AH944" i="2"/>
  <c r="U946" i="2"/>
  <c r="V946" i="2" s="1"/>
  <c r="W946" i="2" s="1"/>
  <c r="X946" i="2" s="1"/>
  <c r="U971" i="2"/>
  <c r="V971" i="2" s="1"/>
  <c r="AG1031" i="2"/>
  <c r="AD1031" i="2"/>
  <c r="AH1275" i="2"/>
  <c r="AG1275" i="2"/>
  <c r="U1275" i="2"/>
  <c r="V1275" i="2" s="1"/>
  <c r="W1275" i="2" s="1"/>
  <c r="X1275" i="2" s="1"/>
  <c r="AE992" i="2"/>
  <c r="AH996" i="2"/>
  <c r="AG1023" i="2"/>
  <c r="AF1047" i="2"/>
  <c r="U1058" i="2"/>
  <c r="V1058" i="2" s="1"/>
  <c r="W1058" i="2" s="1"/>
  <c r="X1058" i="2" s="1"/>
  <c r="U1064" i="2"/>
  <c r="V1064" i="2" s="1"/>
  <c r="W1064" i="2" s="1"/>
  <c r="X1064" i="2" s="1"/>
  <c r="AD1067" i="2"/>
  <c r="V1108" i="2"/>
  <c r="W1108" i="2" s="1"/>
  <c r="X1108" i="2" s="1"/>
  <c r="AH1121" i="2"/>
  <c r="AD1133" i="2"/>
  <c r="U1135" i="2"/>
  <c r="V1135" i="2" s="1"/>
  <c r="W1135" i="2" s="1"/>
  <c r="X1135" i="2" s="1"/>
  <c r="AG1137" i="2"/>
  <c r="AG1141" i="2"/>
  <c r="AD1143" i="2"/>
  <c r="AH1147" i="2"/>
  <c r="AG1156" i="2"/>
  <c r="U1162" i="2"/>
  <c r="V1162" i="2" s="1"/>
  <c r="AF1165" i="2"/>
  <c r="AF1169" i="2"/>
  <c r="AG1173" i="2"/>
  <c r="AH1178" i="2"/>
  <c r="AK1178" i="2" s="1"/>
  <c r="AL1178" i="2" s="1"/>
  <c r="AM1178" i="2" s="1"/>
  <c r="AN1178" i="2" s="1"/>
  <c r="AG1184" i="2"/>
  <c r="AH1186" i="2"/>
  <c r="U1203" i="2"/>
  <c r="V1203" i="2" s="1"/>
  <c r="W1203" i="2" s="1"/>
  <c r="X1203" i="2" s="1"/>
  <c r="U1207" i="2"/>
  <c r="V1207" i="2" s="1"/>
  <c r="W1207" i="2" s="1"/>
  <c r="X1207" i="2" s="1"/>
  <c r="AH1211" i="2"/>
  <c r="AH1227" i="2"/>
  <c r="AD1232" i="2"/>
  <c r="U1260" i="2"/>
  <c r="V1260" i="2" s="1"/>
  <c r="W1260" i="2" s="1"/>
  <c r="X1260" i="2" s="1"/>
  <c r="AH1265" i="2"/>
  <c r="U1277" i="2"/>
  <c r="U1282" i="2"/>
  <c r="V1282" i="2" s="1"/>
  <c r="W1282" i="2" s="1"/>
  <c r="X1282" i="2" s="1"/>
  <c r="AG982" i="2"/>
  <c r="AG985" i="2"/>
  <c r="AD1004" i="2"/>
  <c r="U1013" i="2"/>
  <c r="V1013" i="2" s="1"/>
  <c r="W1013" i="2" s="1"/>
  <c r="X1013" i="2" s="1"/>
  <c r="AG1017" i="2"/>
  <c r="AF1035" i="2"/>
  <c r="AD1041" i="2"/>
  <c r="AF1106" i="2"/>
  <c r="AG1165" i="2"/>
  <c r="U1273" i="2"/>
  <c r="V1273" i="2" s="1"/>
  <c r="W1273" i="2" s="1"/>
  <c r="X1273" i="2" s="1"/>
  <c r="AE1280" i="2"/>
  <c r="AF1293" i="2"/>
  <c r="AF1297" i="2"/>
  <c r="AE1299" i="2"/>
  <c r="AG1302" i="2"/>
  <c r="U1306" i="2"/>
  <c r="V1306" i="2" s="1"/>
  <c r="W1306" i="2" s="1"/>
  <c r="X1306" i="2" s="1"/>
  <c r="U980" i="2"/>
  <c r="X980" i="2" s="1"/>
  <c r="U982" i="2"/>
  <c r="V982" i="2" s="1"/>
  <c r="W982" i="2" s="1"/>
  <c r="X982" i="2" s="1"/>
  <c r="AD1033" i="2"/>
  <c r="AF1058" i="2"/>
  <c r="AH1062" i="2"/>
  <c r="AG1112" i="2"/>
  <c r="AH1165" i="2"/>
  <c r="AG1188" i="2"/>
  <c r="U1201" i="2"/>
  <c r="V1201" i="2" s="1"/>
  <c r="W1201" i="2" s="1"/>
  <c r="X1201" i="2" s="1"/>
  <c r="AH1203" i="2"/>
  <c r="AH1215" i="2"/>
  <c r="V1227" i="2"/>
  <c r="W1227" i="2" s="1"/>
  <c r="X1227" i="2" s="1"/>
  <c r="AF1258" i="2"/>
  <c r="AG1277" i="2"/>
  <c r="AG1293" i="2"/>
  <c r="U976" i="2"/>
  <c r="V976" i="2" s="1"/>
  <c r="W976" i="2" s="1"/>
  <c r="X976" i="2" s="1"/>
  <c r="AE991" i="2"/>
  <c r="U1002" i="2"/>
  <c r="V1002" i="2" s="1"/>
  <c r="U1006" i="2"/>
  <c r="V1006" i="2" s="1"/>
  <c r="W1006" i="2" s="1"/>
  <c r="X1006" i="2" s="1"/>
  <c r="U1010" i="2"/>
  <c r="V1010" i="2" s="1"/>
  <c r="AF1033" i="2"/>
  <c r="AE1054" i="2"/>
  <c r="AH1064" i="2"/>
  <c r="AD1066" i="2"/>
  <c r="U1082" i="2"/>
  <c r="V1082" i="2" s="1"/>
  <c r="W1082" i="2" s="1"/>
  <c r="U1119" i="2"/>
  <c r="V1119" i="2" s="1"/>
  <c r="W1119" i="2" s="1"/>
  <c r="X1119" i="2" s="1"/>
  <c r="U1127" i="2"/>
  <c r="V1127" i="2" s="1"/>
  <c r="AG1168" i="2"/>
  <c r="U1182" i="2"/>
  <c r="V1182" i="2" s="1"/>
  <c r="W1182" i="2" s="1"/>
  <c r="X1182" i="2" s="1"/>
  <c r="AF1184" i="2"/>
  <c r="AF1194" i="2"/>
  <c r="AD1207" i="2"/>
  <c r="U1223" i="2"/>
  <c r="V1223" i="2" s="1"/>
  <c r="W1223" i="2" s="1"/>
  <c r="X1223" i="2" s="1"/>
  <c r="AF1232" i="2"/>
  <c r="AE1267" i="2"/>
  <c r="U1269" i="2"/>
  <c r="V1269" i="2" s="1"/>
  <c r="AG1284" i="2"/>
  <c r="AE1301" i="2"/>
  <c r="U959" i="2"/>
  <c r="V959" i="2" s="1"/>
  <c r="W959" i="2" s="1"/>
  <c r="X959" i="2" s="1"/>
  <c r="U963" i="2"/>
  <c r="V963" i="2" s="1"/>
  <c r="W963" i="2" s="1"/>
  <c r="X963" i="2" s="1"/>
  <c r="AH1033" i="2"/>
  <c r="AH1068" i="2"/>
  <c r="AH1080" i="2"/>
  <c r="U1098" i="2"/>
  <c r="AD1112" i="2"/>
  <c r="AD1117" i="2"/>
  <c r="AG1121" i="2"/>
  <c r="AG1125" i="2"/>
  <c r="AG1142" i="2"/>
  <c r="AH1150" i="2"/>
  <c r="U1159" i="2"/>
  <c r="V1159" i="2" s="1"/>
  <c r="W1159" i="2" s="1"/>
  <c r="X1159" i="2" s="1"/>
  <c r="AF1192" i="2"/>
  <c r="U1197" i="2"/>
  <c r="V1197" i="2" s="1"/>
  <c r="AH1201" i="2"/>
  <c r="AE1205" i="2"/>
  <c r="AH1218" i="2"/>
  <c r="AG1229" i="2"/>
  <c r="AH1252" i="2"/>
  <c r="AG1262" i="2"/>
  <c r="AD1264" i="2"/>
  <c r="AF1267" i="2"/>
  <c r="AH1297" i="2"/>
  <c r="AD1017" i="2"/>
  <c r="AE1035" i="2"/>
  <c r="AG1045" i="2"/>
  <c r="U1066" i="2"/>
  <c r="V1066" i="2" s="1"/>
  <c r="U1092" i="2"/>
  <c r="X1092" i="2" s="1"/>
  <c r="AH1102" i="2"/>
  <c r="AK1102" i="2" s="1"/>
  <c r="AL1102" i="2" s="1"/>
  <c r="AM1102" i="2" s="1"/>
  <c r="AN1102" i="2" s="1"/>
  <c r="AE1109" i="2"/>
  <c r="AG1124" i="2"/>
  <c r="AF1125" i="2"/>
  <c r="AG1127" i="2"/>
  <c r="AG1133" i="2"/>
  <c r="AE1136" i="2"/>
  <c r="V1138" i="2"/>
  <c r="W1138" i="2" s="1"/>
  <c r="X1138" i="2" s="1"/>
  <c r="AF1140" i="2"/>
  <c r="AD1142" i="2"/>
  <c r="AE1147" i="2"/>
  <c r="AD1157" i="2"/>
  <c r="AF1160" i="2"/>
  <c r="AG1172" i="2"/>
  <c r="U1176" i="2"/>
  <c r="V1176" i="2" s="1"/>
  <c r="W1176" i="2" s="1"/>
  <c r="X1176" i="2" s="1"/>
  <c r="AD1178" i="2"/>
  <c r="AE1188" i="2"/>
  <c r="U1199" i="2"/>
  <c r="V1199" i="2" s="1"/>
  <c r="W1199" i="2" s="1"/>
  <c r="X1199" i="2" s="1"/>
  <c r="AF1214" i="2"/>
  <c r="AF1223" i="2"/>
  <c r="U1240" i="2"/>
  <c r="V1240" i="2" s="1"/>
  <c r="W1240" i="2" s="1"/>
  <c r="X1240" i="2" s="1"/>
  <c r="AH1249" i="2"/>
  <c r="U1251" i="2"/>
  <c r="V1251" i="2" s="1"/>
  <c r="W1251" i="2" s="1"/>
  <c r="X1251" i="2" s="1"/>
  <c r="AH1262" i="2"/>
  <c r="AG1267" i="2"/>
  <c r="U1288" i="2"/>
  <c r="V1288" i="2" s="1"/>
  <c r="AD1306" i="2"/>
  <c r="AH982" i="2"/>
  <c r="U989" i="2"/>
  <c r="V989" i="2" s="1"/>
  <c r="W989" i="2" s="1"/>
  <c r="X989" i="2" s="1"/>
  <c r="U995" i="2"/>
  <c r="V995" i="2" s="1"/>
  <c r="W995" i="2" s="1"/>
  <c r="X995" i="2" s="1"/>
  <c r="U997" i="2"/>
  <c r="V997" i="2" s="1"/>
  <c r="AF999" i="2"/>
  <c r="AG1001" i="2"/>
  <c r="AE1004" i="2"/>
  <c r="U1022" i="2"/>
  <c r="V1022" i="2" s="1"/>
  <c r="W1022" i="2" s="1"/>
  <c r="X1022" i="2" s="1"/>
  <c r="U1028" i="2"/>
  <c r="V1028" i="2" s="1"/>
  <c r="W1028" i="2" s="1"/>
  <c r="X1028" i="2" s="1"/>
  <c r="U1032" i="2"/>
  <c r="V1032" i="2" s="1"/>
  <c r="AE1041" i="2"/>
  <c r="AG1047" i="2"/>
  <c r="U1051" i="2"/>
  <c r="V1051" i="2" s="1"/>
  <c r="W1051" i="2" s="1"/>
  <c r="X1051" i="2" s="1"/>
  <c r="AD1057" i="2"/>
  <c r="AH1059" i="2"/>
  <c r="AF1063" i="2"/>
  <c r="AH1072" i="2"/>
  <c r="U1078" i="2"/>
  <c r="V1078" i="2" s="1"/>
  <c r="W1078" i="2" s="1"/>
  <c r="X1078" i="2" s="1"/>
  <c r="AG1082" i="2"/>
  <c r="U1084" i="2"/>
  <c r="V1084" i="2" s="1"/>
  <c r="W1084" i="2" s="1"/>
  <c r="X1084" i="2" s="1"/>
  <c r="AH1094" i="2"/>
  <c r="AG1098" i="2"/>
  <c r="U1102" i="2"/>
  <c r="V1102" i="2" s="1"/>
  <c r="W1102" i="2" s="1"/>
  <c r="X1102" i="2" s="1"/>
  <c r="AH1111" i="2"/>
  <c r="AK1111" i="2" s="1"/>
  <c r="AL1111" i="2" s="1"/>
  <c r="AN1111" i="2" s="1"/>
  <c r="U1136" i="2"/>
  <c r="V1136" i="2" s="1"/>
  <c r="W1136" i="2" s="1"/>
  <c r="X1136" i="2" s="1"/>
  <c r="U1155" i="2"/>
  <c r="V1155" i="2" s="1"/>
  <c r="W1155" i="2" s="1"/>
  <c r="X1155" i="2" s="1"/>
  <c r="U1166" i="2"/>
  <c r="V1166" i="2" s="1"/>
  <c r="W1166" i="2" s="1"/>
  <c r="X1166" i="2" s="1"/>
  <c r="AG1176" i="2"/>
  <c r="AE1178" i="2"/>
  <c r="AD1191" i="2"/>
  <c r="AF1197" i="2"/>
  <c r="AF1204" i="2"/>
  <c r="U1214" i="2"/>
  <c r="V1214" i="2" s="1"/>
  <c r="AG1227" i="2"/>
  <c r="AD1229" i="2"/>
  <c r="U1235" i="2"/>
  <c r="V1235" i="2" s="1"/>
  <c r="AE1246" i="2"/>
  <c r="AE1264" i="2"/>
  <c r="U1266" i="2"/>
  <c r="V1266" i="2" s="1"/>
  <c r="W1266" i="2" s="1"/>
  <c r="X1266" i="2" s="1"/>
  <c r="AF1281" i="2"/>
  <c r="AG1294" i="2"/>
  <c r="AD1297" i="2"/>
  <c r="AF1299" i="2"/>
  <c r="U1301" i="2"/>
  <c r="AF976" i="2"/>
  <c r="AD985" i="2"/>
  <c r="AF1002" i="2"/>
  <c r="AF1004" i="2"/>
  <c r="AD1010" i="2"/>
  <c r="AG1038" i="2"/>
  <c r="AG1041" i="2"/>
  <c r="AE1049" i="2"/>
  <c r="AG1070" i="2"/>
  <c r="AG1080" i="2"/>
  <c r="AH1088" i="2"/>
  <c r="AD1092" i="2"/>
  <c r="AF1107" i="2"/>
  <c r="AH1115" i="2"/>
  <c r="AH1138" i="2"/>
  <c r="AD1140" i="2"/>
  <c r="U1142" i="2"/>
  <c r="V1142" i="2" s="1"/>
  <c r="W1142" i="2" s="1"/>
  <c r="X1142" i="2" s="1"/>
  <c r="AD1172" i="2"/>
  <c r="AF1178" i="2"/>
  <c r="AH1185" i="2"/>
  <c r="AK1185" i="2" s="1"/>
  <c r="AL1185" i="2" s="1"/>
  <c r="AN1185" i="2" s="1"/>
  <c r="AF1187" i="2"/>
  <c r="AE1210" i="2"/>
  <c r="AF1212" i="2"/>
  <c r="AF1222" i="2"/>
  <c r="AE1229" i="2"/>
  <c r="AF1233" i="2"/>
  <c r="AG1242" i="2"/>
  <c r="AD1249" i="2"/>
  <c r="AF1264" i="2"/>
  <c r="AH1272" i="2"/>
  <c r="U1281" i="2"/>
  <c r="V1281" i="2" s="1"/>
  <c r="AG1301" i="2"/>
  <c r="U931" i="2"/>
  <c r="V931" i="2" s="1"/>
  <c r="W931" i="2" s="1"/>
  <c r="X931" i="2" s="1"/>
  <c r="AG933" i="2"/>
  <c r="AG976" i="2"/>
  <c r="AE981" i="2"/>
  <c r="AE985" i="2"/>
  <c r="AF991" i="2"/>
  <c r="AD993" i="2"/>
  <c r="AD997" i="2"/>
  <c r="AG1004" i="2"/>
  <c r="AE1010" i="2"/>
  <c r="U1026" i="2"/>
  <c r="V1026" i="2" s="1"/>
  <c r="W1026" i="2" s="1"/>
  <c r="X1026" i="2" s="1"/>
  <c r="AD1034" i="2"/>
  <c r="U1038" i="2"/>
  <c r="AE1044" i="2"/>
  <c r="AH1049" i="2"/>
  <c r="AG1055" i="2"/>
  <c r="AG1065" i="2"/>
  <c r="AE1066" i="2"/>
  <c r="AG1078" i="2"/>
  <c r="AD1082" i="2"/>
  <c r="AF1102" i="2"/>
  <c r="U1107" i="2"/>
  <c r="V1107" i="2" s="1"/>
  <c r="W1107" i="2" s="1"/>
  <c r="X1107" i="2" s="1"/>
  <c r="U1111" i="2"/>
  <c r="V1111" i="2" s="1"/>
  <c r="W1111" i="2" s="1"/>
  <c r="X1111" i="2" s="1"/>
  <c r="U1115" i="2"/>
  <c r="V1115" i="2" s="1"/>
  <c r="W1115" i="2" s="1"/>
  <c r="X1115" i="2" s="1"/>
  <c r="AG1126" i="2"/>
  <c r="U1130" i="2"/>
  <c r="V1130" i="2" s="1"/>
  <c r="W1130" i="2" s="1"/>
  <c r="X1130" i="2" s="1"/>
  <c r="AE1131" i="2"/>
  <c r="AH1134" i="2"/>
  <c r="AH1140" i="2"/>
  <c r="AH1144" i="2"/>
  <c r="U1148" i="2"/>
  <c r="V1148" i="2" s="1"/>
  <c r="AH1155" i="2"/>
  <c r="AF1168" i="2"/>
  <c r="AE1172" i="2"/>
  <c r="AG1178" i="2"/>
  <c r="U1181" i="2"/>
  <c r="AH1183" i="2"/>
  <c r="U1185" i="2"/>
  <c r="V1185" i="2" s="1"/>
  <c r="W1185" i="2" s="1"/>
  <c r="X1185" i="2" s="1"/>
  <c r="U1187" i="2"/>
  <c r="V1187" i="2" s="1"/>
  <c r="W1187" i="2" s="1"/>
  <c r="X1187" i="2" s="1"/>
  <c r="AH1189" i="2"/>
  <c r="AF1202" i="2"/>
  <c r="AH1206" i="2"/>
  <c r="AH1208" i="2"/>
  <c r="U1210" i="2"/>
  <c r="V1210" i="2" s="1"/>
  <c r="W1210" i="2" s="1"/>
  <c r="X1210" i="2" s="1"/>
  <c r="AG1218" i="2"/>
  <c r="U1222" i="2"/>
  <c r="V1222" i="2" s="1"/>
  <c r="W1222" i="2" s="1"/>
  <c r="X1222" i="2" s="1"/>
  <c r="AF1229" i="2"/>
  <c r="AF1240" i="2"/>
  <c r="AE1251" i="2"/>
  <c r="AH1263" i="2"/>
  <c r="AH1276" i="2"/>
  <c r="AH1284" i="2"/>
  <c r="AD1288" i="2"/>
  <c r="AG1299" i="2"/>
  <c r="AD1301" i="2"/>
  <c r="U1303" i="2"/>
  <c r="V1303" i="2" s="1"/>
  <c r="W1303" i="2" s="1"/>
  <c r="X1303" i="2" s="1"/>
  <c r="AH1307" i="2"/>
  <c r="AH976" i="2"/>
  <c r="AF985" i="2"/>
  <c r="AH1007" i="2"/>
  <c r="AF1010" i="2"/>
  <c r="AF1014" i="2"/>
  <c r="AF1046" i="2"/>
  <c r="AD1051" i="2"/>
  <c r="AH1066" i="2"/>
  <c r="AF1074" i="2"/>
  <c r="AE1082" i="2"/>
  <c r="AF1124" i="2"/>
  <c r="AE1128" i="2"/>
  <c r="AH1229" i="2"/>
  <c r="AD1251" i="2"/>
  <c r="AG1261" i="2"/>
  <c r="AG1268" i="2"/>
  <c r="V1272" i="2"/>
  <c r="W1272" i="2" s="1"/>
  <c r="X1272" i="2" s="1"/>
  <c r="AF1288" i="2"/>
  <c r="AF1298" i="2"/>
  <c r="AH1301" i="2"/>
  <c r="AG1303" i="2"/>
  <c r="AG1305" i="2"/>
  <c r="AH997" i="2"/>
  <c r="AE1051" i="2"/>
  <c r="AF1082" i="2"/>
  <c r="AG1111" i="2"/>
  <c r="U1120" i="2"/>
  <c r="V1120" i="2" s="1"/>
  <c r="W1120" i="2" s="1"/>
  <c r="X1120" i="2" s="1"/>
  <c r="AD1146" i="2"/>
  <c r="U1165" i="2"/>
  <c r="V1165" i="2" s="1"/>
  <c r="W1165" i="2" s="1"/>
  <c r="X1165" i="2" s="1"/>
  <c r="AH1173" i="2"/>
  <c r="AK1173" i="2" s="1"/>
  <c r="AL1173" i="2" s="1"/>
  <c r="AM1173" i="2" s="1"/>
  <c r="AN1173" i="2" s="1"/>
  <c r="U1175" i="2"/>
  <c r="V1175" i="2" s="1"/>
  <c r="W1175" i="2" s="1"/>
  <c r="X1175" i="2" s="1"/>
  <c r="AH1191" i="2"/>
  <c r="AF1224" i="2"/>
  <c r="AH1243" i="2"/>
  <c r="AD1303" i="2"/>
  <c r="U973" i="2"/>
  <c r="V973" i="2" s="1"/>
  <c r="W973" i="2" s="1"/>
  <c r="X973" i="2" s="1"/>
  <c r="AD988" i="2"/>
  <c r="U1003" i="2"/>
  <c r="V1003" i="2" s="1"/>
  <c r="W1003" i="2" s="1"/>
  <c r="X1003" i="2" s="1"/>
  <c r="AH1005" i="2"/>
  <c r="AF1012" i="2"/>
  <c r="AE1022" i="2"/>
  <c r="U1042" i="2"/>
  <c r="V1042" i="2" s="1"/>
  <c r="W1042" i="2" s="1"/>
  <c r="X1042" i="2" s="1"/>
  <c r="AG1050" i="2"/>
  <c r="AE1057" i="2"/>
  <c r="AG1061" i="2"/>
  <c r="AD1063" i="2"/>
  <c r="AF1070" i="2"/>
  <c r="U1105" i="2"/>
  <c r="V1105" i="2" s="1"/>
  <c r="W1105" i="2" s="1"/>
  <c r="X1105" i="2" s="1"/>
  <c r="AH1109" i="2"/>
  <c r="AD1124" i="2"/>
  <c r="U1126" i="2"/>
  <c r="V1126" i="2" s="1"/>
  <c r="W1126" i="2" s="1"/>
  <c r="X1126" i="2" s="1"/>
  <c r="U1132" i="2"/>
  <c r="V1132" i="2" s="1"/>
  <c r="W1132" i="2" s="1"/>
  <c r="X1132" i="2" s="1"/>
  <c r="AF1139" i="2"/>
  <c r="AH1171" i="2"/>
  <c r="AK1171" i="2" s="1"/>
  <c r="AL1171" i="2" s="1"/>
  <c r="AM1171" i="2" s="1"/>
  <c r="AN1171" i="2" s="1"/>
  <c r="U1179" i="2"/>
  <c r="V1179" i="2" s="1"/>
  <c r="W1179" i="2" s="1"/>
  <c r="X1179" i="2" s="1"/>
  <c r="AF1185" i="2"/>
  <c r="AE1191" i="2"/>
  <c r="U1202" i="2"/>
  <c r="V1202" i="2" s="1"/>
  <c r="W1202" i="2" s="1"/>
  <c r="X1202" i="2" s="1"/>
  <c r="AG1214" i="2"/>
  <c r="AE1235" i="2"/>
  <c r="AH1246" i="2"/>
  <c r="AK1246" i="2" s="1"/>
  <c r="AL1246" i="2" s="1"/>
  <c r="AN1246" i="2" s="1"/>
  <c r="AG1251" i="2"/>
  <c r="AD1261" i="2"/>
  <c r="AF1265" i="2"/>
  <c r="U1278" i="2"/>
  <c r="V1278" i="2" s="1"/>
  <c r="AH1291" i="2"/>
  <c r="AG1300" i="2"/>
  <c r="AD1305" i="2"/>
  <c r="AH981" i="2"/>
  <c r="U988" i="2"/>
  <c r="V988" i="2" s="1"/>
  <c r="W988" i="2" s="1"/>
  <c r="X988" i="2" s="1"/>
  <c r="AF994" i="2"/>
  <c r="AE996" i="2"/>
  <c r="AD1001" i="2"/>
  <c r="U1005" i="2"/>
  <c r="V1005" i="2" s="1"/>
  <c r="W1005" i="2" s="1"/>
  <c r="X1005" i="2" s="1"/>
  <c r="AG1011" i="2"/>
  <c r="AF1022" i="2"/>
  <c r="AF1031" i="2"/>
  <c r="AD1050" i="2"/>
  <c r="AG1063" i="2"/>
  <c r="AH1067" i="2"/>
  <c r="U1089" i="2"/>
  <c r="V1089" i="2" s="1"/>
  <c r="W1089" i="2" s="1"/>
  <c r="X1089" i="2" s="1"/>
  <c r="AF1095" i="2"/>
  <c r="AG1107" i="2"/>
  <c r="AE1115" i="2"/>
  <c r="AH1124" i="2"/>
  <c r="AD1130" i="2"/>
  <c r="AH1137" i="2"/>
  <c r="U1139" i="2"/>
  <c r="V1139" i="2" s="1"/>
  <c r="W1139" i="2" s="1"/>
  <c r="X1139" i="2" s="1"/>
  <c r="AH1143" i="2"/>
  <c r="AF1146" i="2"/>
  <c r="U1151" i="2"/>
  <c r="V1151" i="2" s="1"/>
  <c r="AH1156" i="2"/>
  <c r="AH1159" i="2"/>
  <c r="AE1181" i="2"/>
  <c r="AD1185" i="2"/>
  <c r="AG1187" i="2"/>
  <c r="AH1196" i="2"/>
  <c r="AD1204" i="2"/>
  <c r="AD1210" i="2"/>
  <c r="AH1214" i="2"/>
  <c r="AD1222" i="2"/>
  <c r="AE1230" i="2"/>
  <c r="AD1235" i="2"/>
  <c r="U1245" i="2"/>
  <c r="V1245" i="2" s="1"/>
  <c r="AE1248" i="2"/>
  <c r="AE1261" i="2"/>
  <c r="AD1281" i="2"/>
  <c r="AG1289" i="2"/>
  <c r="AH1298" i="2"/>
  <c r="AF1305" i="2"/>
  <c r="U941" i="2"/>
  <c r="V941" i="2" s="1"/>
  <c r="U958" i="2"/>
  <c r="V958" i="2" s="1"/>
  <c r="W958" i="2" s="1"/>
  <c r="X958" i="2" s="1"/>
  <c r="AG966" i="2"/>
  <c r="AG970" i="2"/>
  <c r="U977" i="2"/>
  <c r="V977" i="2" s="1"/>
  <c r="W977" i="2" s="1"/>
  <c r="X977" i="2" s="1"/>
  <c r="AH986" i="2"/>
  <c r="AK986" i="2" s="1"/>
  <c r="AL986" i="2" s="1"/>
  <c r="AN986" i="2" s="1"/>
  <c r="U990" i="2"/>
  <c r="V990" i="2" s="1"/>
  <c r="U994" i="2"/>
  <c r="V994" i="2" s="1"/>
  <c r="W994" i="2" s="1"/>
  <c r="X994" i="2" s="1"/>
  <c r="U1011" i="2"/>
  <c r="V1011" i="2" s="1"/>
  <c r="W1011" i="2" s="1"/>
  <c r="X1011" i="2" s="1"/>
  <c r="AD1014" i="2"/>
  <c r="AH1022" i="2"/>
  <c r="U1031" i="2"/>
  <c r="V1031" i="2" s="1"/>
  <c r="W1031" i="2" s="1"/>
  <c r="X1031" i="2" s="1"/>
  <c r="AE1034" i="2"/>
  <c r="AE1038" i="2"/>
  <c r="AF1042" i="2"/>
  <c r="AH1048" i="2"/>
  <c r="AH1052" i="2"/>
  <c r="AE1060" i="2"/>
  <c r="AE1065" i="2"/>
  <c r="U1067" i="2"/>
  <c r="V1067" i="2" s="1"/>
  <c r="W1067" i="2" s="1"/>
  <c r="X1067" i="2" s="1"/>
  <c r="AD1073" i="2"/>
  <c r="AH1075" i="2"/>
  <c r="AH1077" i="2"/>
  <c r="AH1079" i="2"/>
  <c r="AH1095" i="2"/>
  <c r="AG1110" i="2"/>
  <c r="AH1128" i="2"/>
  <c r="AE1130" i="2"/>
  <c r="U1145" i="2"/>
  <c r="V1145" i="2" s="1"/>
  <c r="AG1146" i="2"/>
  <c r="AD1149" i="2"/>
  <c r="AD1163" i="2"/>
  <c r="AF1171" i="2"/>
  <c r="AD1175" i="2"/>
  <c r="AF1181" i="2"/>
  <c r="AE1189" i="2"/>
  <c r="AE1194" i="2"/>
  <c r="AF1200" i="2"/>
  <c r="AE1204" i="2"/>
  <c r="AF1210" i="2"/>
  <c r="U1219" i="2"/>
  <c r="V1219" i="2" s="1"/>
  <c r="W1219" i="2" s="1"/>
  <c r="X1219" i="2" s="1"/>
  <c r="AE1222" i="2"/>
  <c r="U1230" i="2"/>
  <c r="V1230" i="2" s="1"/>
  <c r="W1230" i="2" s="1"/>
  <c r="X1230" i="2" s="1"/>
  <c r="AF1235" i="2"/>
  <c r="AE1237" i="2"/>
  <c r="AF1261" i="2"/>
  <c r="AH1268" i="2"/>
  <c r="AF1272" i="2"/>
  <c r="U1289" i="2"/>
  <c r="V1289" i="2" s="1"/>
  <c r="W1289" i="2" s="1"/>
  <c r="X1289" i="2" s="1"/>
  <c r="AF1296" i="2"/>
  <c r="AH1304" i="2"/>
  <c r="U920" i="2"/>
  <c r="V920" i="2" s="1"/>
  <c r="AH932" i="2"/>
  <c r="AK932" i="2" s="1"/>
  <c r="AL932" i="2" s="1"/>
  <c r="AN932" i="2" s="1"/>
  <c r="U939" i="2"/>
  <c r="V939" i="2" s="1"/>
  <c r="W939" i="2" s="1"/>
  <c r="X939" i="2" s="1"/>
  <c r="U943" i="2"/>
  <c r="V943" i="2" s="1"/>
  <c r="AE947" i="2"/>
  <c r="AD955" i="2"/>
  <c r="U966" i="2"/>
  <c r="V966" i="2" s="1"/>
  <c r="W966" i="2" s="1"/>
  <c r="X966" i="2" s="1"/>
  <c r="AG981" i="2"/>
  <c r="U986" i="2"/>
  <c r="V986" i="2" s="1"/>
  <c r="W986" i="2" s="1"/>
  <c r="X986" i="2" s="1"/>
  <c r="U992" i="2"/>
  <c r="V992" i="2" s="1"/>
  <c r="W992" i="2" s="1"/>
  <c r="X992" i="2" s="1"/>
  <c r="U998" i="2"/>
  <c r="V998" i="2" s="1"/>
  <c r="AF1001" i="2"/>
  <c r="AH1034" i="2"/>
  <c r="AF1038" i="2"/>
  <c r="AH1044" i="2"/>
  <c r="U1050" i="2"/>
  <c r="V1050" i="2" s="1"/>
  <c r="U1054" i="2"/>
  <c r="V1054" i="2" s="1"/>
  <c r="W1054" i="2" s="1"/>
  <c r="X1054" i="2" s="1"/>
  <c r="U1060" i="2"/>
  <c r="V1060" i="2" s="1"/>
  <c r="W1060" i="2" s="1"/>
  <c r="X1060" i="2" s="1"/>
  <c r="AF1062" i="2"/>
  <c r="AF1065" i="2"/>
  <c r="AG1071" i="2"/>
  <c r="U1075" i="2"/>
  <c r="V1075" i="2" s="1"/>
  <c r="W1075" i="2" s="1"/>
  <c r="X1075" i="2" s="1"/>
  <c r="AE1083" i="2"/>
  <c r="U1085" i="2"/>
  <c r="V1085" i="2" s="1"/>
  <c r="AD1110" i="2"/>
  <c r="AH1112" i="2"/>
  <c r="AK1112" i="2" s="1"/>
  <c r="AL1112" i="2" s="1"/>
  <c r="AM1112" i="2" s="1"/>
  <c r="AN1112" i="2" s="1"/>
  <c r="AH1116" i="2"/>
  <c r="AH1120" i="2"/>
  <c r="AF1123" i="2"/>
  <c r="AH1126" i="2"/>
  <c r="AE1175" i="2"/>
  <c r="AH1188" i="2"/>
  <c r="AG1210" i="2"/>
  <c r="AG1222" i="2"/>
  <c r="AG1245" i="2"/>
  <c r="AG1248" i="2"/>
  <c r="AG1278" i="2"/>
  <c r="AF1287" i="2"/>
  <c r="AD1298" i="2"/>
  <c r="AE5" i="2"/>
  <c r="AF8" i="2"/>
  <c r="AG11" i="2"/>
  <c r="AH14" i="2"/>
  <c r="AD18" i="2"/>
  <c r="AE21" i="2"/>
  <c r="AF24" i="2"/>
  <c r="AG27" i="2"/>
  <c r="AH30" i="2"/>
  <c r="AD34" i="2"/>
  <c r="AE37" i="2"/>
  <c r="AF40" i="2"/>
  <c r="AG43" i="2"/>
  <c r="AH46" i="2"/>
  <c r="AD50" i="2"/>
  <c r="AE53" i="2"/>
  <c r="AF56" i="2"/>
  <c r="AG59" i="2"/>
  <c r="AH62" i="2"/>
  <c r="AD66" i="2"/>
  <c r="AE69" i="2"/>
  <c r="AF72" i="2"/>
  <c r="AH75" i="2"/>
  <c r="AF75" i="2"/>
  <c r="AE75" i="2"/>
  <c r="AE76" i="2"/>
  <c r="AG82" i="2"/>
  <c r="AE82" i="2"/>
  <c r="AD82" i="2"/>
  <c r="U83" i="2"/>
  <c r="AG110" i="2"/>
  <c r="U131" i="2"/>
  <c r="V131" i="2" s="1"/>
  <c r="U162" i="2"/>
  <c r="AH213" i="2"/>
  <c r="AK213" i="2" s="1"/>
  <c r="AL213" i="2" s="1"/>
  <c r="AG213" i="2"/>
  <c r="AF213" i="2"/>
  <c r="AE213" i="2"/>
  <c r="AD213" i="2"/>
  <c r="U45" i="2"/>
  <c r="AD47" i="2"/>
  <c r="AE50" i="2"/>
  <c r="U61" i="2"/>
  <c r="AD63" i="2"/>
  <c r="AE66" i="2"/>
  <c r="U74" i="2"/>
  <c r="AH91" i="2"/>
  <c r="AG91" i="2"/>
  <c r="AF91" i="2"/>
  <c r="AE91" i="2"/>
  <c r="AG178" i="2"/>
  <c r="AF178" i="2"/>
  <c r="AE178" i="2"/>
  <c r="AD178" i="2"/>
  <c r="AH178" i="2"/>
  <c r="AG5" i="2"/>
  <c r="AH8" i="2"/>
  <c r="U10" i="2"/>
  <c r="V10" i="2" s="1"/>
  <c r="AD12" i="2"/>
  <c r="AE15" i="2"/>
  <c r="AF18" i="2"/>
  <c r="AG21" i="2"/>
  <c r="AH24" i="2"/>
  <c r="U26" i="2"/>
  <c r="V26" i="2" s="1"/>
  <c r="AD28" i="2"/>
  <c r="AE31" i="2"/>
  <c r="AF34" i="2"/>
  <c r="AG37" i="2"/>
  <c r="AH40" i="2"/>
  <c r="U42" i="2"/>
  <c r="AD44" i="2"/>
  <c r="AE47" i="2"/>
  <c r="AF50" i="2"/>
  <c r="AG53" i="2"/>
  <c r="AH56" i="2"/>
  <c r="U58" i="2"/>
  <c r="V58" i="2" s="1"/>
  <c r="AD60" i="2"/>
  <c r="AE63" i="2"/>
  <c r="AF66" i="2"/>
  <c r="AG69" i="2"/>
  <c r="AH72" i="2"/>
  <c r="AG88" i="2"/>
  <c r="AF96" i="2"/>
  <c r="AD96" i="2"/>
  <c r="AH96" i="2"/>
  <c r="AG96" i="2"/>
  <c r="AD103" i="2"/>
  <c r="AG152" i="2"/>
  <c r="AG168" i="2"/>
  <c r="U178" i="2"/>
  <c r="V178" i="2" s="1"/>
  <c r="AG244" i="2"/>
  <c r="AF244" i="2"/>
  <c r="AH244" i="2"/>
  <c r="AE244" i="2"/>
  <c r="AD244" i="2"/>
  <c r="AH282" i="2"/>
  <c r="AG282" i="2"/>
  <c r="AF282" i="2"/>
  <c r="AD282" i="2"/>
  <c r="AE282" i="2"/>
  <c r="U7" i="2"/>
  <c r="V7" i="2" s="1"/>
  <c r="AD9" i="2"/>
  <c r="AE12" i="2"/>
  <c r="AF15" i="2"/>
  <c r="AG18" i="2"/>
  <c r="U23" i="2"/>
  <c r="V23" i="2" s="1"/>
  <c r="AD25" i="2"/>
  <c r="AE28" i="2"/>
  <c r="AF31" i="2"/>
  <c r="AG34" i="2"/>
  <c r="U39" i="2"/>
  <c r="AD41" i="2"/>
  <c r="AE44" i="2"/>
  <c r="U55" i="2"/>
  <c r="AD57" i="2"/>
  <c r="AE60" i="2"/>
  <c r="U71" i="2"/>
  <c r="V71" i="2" s="1"/>
  <c r="AD73" i="2"/>
  <c r="U76" i="2"/>
  <c r="AD78" i="2"/>
  <c r="AF112" i="2"/>
  <c r="AG115" i="2"/>
  <c r="AE115" i="2"/>
  <c r="AD115" i="2"/>
  <c r="AH115" i="2"/>
  <c r="AG134" i="2"/>
  <c r="AH145" i="2"/>
  <c r="AG145" i="2"/>
  <c r="AF145" i="2"/>
  <c r="AE145" i="2"/>
  <c r="AD145" i="2"/>
  <c r="U145" i="2"/>
  <c r="AH152" i="2"/>
  <c r="AE152" i="2"/>
  <c r="U152" i="2"/>
  <c r="V152" i="2" s="1"/>
  <c r="AH168" i="2"/>
  <c r="AE168" i="2"/>
  <c r="U168" i="2"/>
  <c r="V168" i="2" s="1"/>
  <c r="AG194" i="2"/>
  <c r="AF194" i="2"/>
  <c r="AE194" i="2"/>
  <c r="AD194" i="2"/>
  <c r="AH194" i="2"/>
  <c r="AK194" i="2" s="1"/>
  <c r="AL194" i="2" s="1"/>
  <c r="AN194" i="2" s="1"/>
  <c r="U13" i="2"/>
  <c r="AD6" i="2"/>
  <c r="AE9" i="2"/>
  <c r="AG15" i="2"/>
  <c r="AD22" i="2"/>
  <c r="AE25" i="2"/>
  <c r="AG31" i="2"/>
  <c r="AD38" i="2"/>
  <c r="AG47" i="2"/>
  <c r="AD54" i="2"/>
  <c r="AE57" i="2"/>
  <c r="AG63" i="2"/>
  <c r="AD70" i="2"/>
  <c r="AE78" i="2"/>
  <c r="U81" i="2"/>
  <c r="V81" i="2" s="1"/>
  <c r="AH81" i="2"/>
  <c r="AG81" i="2"/>
  <c r="AH88" i="2"/>
  <c r="AE90" i="2"/>
  <c r="U91" i="2"/>
  <c r="AG99" i="2"/>
  <c r="AE99" i="2"/>
  <c r="AD99" i="2"/>
  <c r="AH99" i="2"/>
  <c r="AK99" i="2" s="1"/>
  <c r="AL99" i="2" s="1"/>
  <c r="AN99" i="2" s="1"/>
  <c r="U115" i="2"/>
  <c r="AH119" i="2"/>
  <c r="AE119" i="2"/>
  <c r="AG122" i="2"/>
  <c r="U194" i="2"/>
  <c r="AG210" i="2"/>
  <c r="AF210" i="2"/>
  <c r="AE210" i="2"/>
  <c r="AD210" i="2"/>
  <c r="AH210" i="2"/>
  <c r="AK210" i="2" s="1"/>
  <c r="AL210" i="2" s="1"/>
  <c r="AN210" i="2" s="1"/>
  <c r="AE6" i="2"/>
  <c r="AF9" i="2"/>
  <c r="AG12" i="2"/>
  <c r="AH15" i="2"/>
  <c r="AD19" i="2"/>
  <c r="AE22" i="2"/>
  <c r="AF25" i="2"/>
  <c r="AH31" i="2"/>
  <c r="AD35" i="2"/>
  <c r="AE38" i="2"/>
  <c r="AF41" i="2"/>
  <c r="AH47" i="2"/>
  <c r="U49" i="2"/>
  <c r="AD51" i="2"/>
  <c r="AE54" i="2"/>
  <c r="AF57" i="2"/>
  <c r="AH63" i="2"/>
  <c r="U65" i="2"/>
  <c r="AD67" i="2"/>
  <c r="AE70" i="2"/>
  <c r="AF73" i="2"/>
  <c r="AH76" i="2"/>
  <c r="AG105" i="2"/>
  <c r="AH118" i="2"/>
  <c r="AF118" i="2"/>
  <c r="AE118" i="2"/>
  <c r="AH130" i="2"/>
  <c r="AG130" i="2"/>
  <c r="AF130" i="2"/>
  <c r="AE130" i="2"/>
  <c r="AD130" i="2"/>
  <c r="U130" i="2"/>
  <c r="AH133" i="2"/>
  <c r="AG41" i="2"/>
  <c r="AG73" i="2"/>
  <c r="AH103" i="2"/>
  <c r="AE103" i="2"/>
  <c r="AG234" i="2"/>
  <c r="AF234" i="2"/>
  <c r="AE234" i="2"/>
  <c r="AD234" i="2"/>
  <c r="AG131" i="2"/>
  <c r="AE131" i="2"/>
  <c r="AD131" i="2"/>
  <c r="AH131" i="2"/>
  <c r="AG6" i="2"/>
  <c r="AD13" i="2"/>
  <c r="AE16" i="2"/>
  <c r="AF19" i="2"/>
  <c r="AG22" i="2"/>
  <c r="AD29" i="2"/>
  <c r="AF35" i="2"/>
  <c r="AG38" i="2"/>
  <c r="AD45" i="2"/>
  <c r="AF51" i="2"/>
  <c r="AG54" i="2"/>
  <c r="AD61" i="2"/>
  <c r="AE64" i="2"/>
  <c r="AF67" i="2"/>
  <c r="AG70" i="2"/>
  <c r="AD74" i="2"/>
  <c r="AD76" i="2"/>
  <c r="AF80" i="2"/>
  <c r="AD80" i="2"/>
  <c r="AG80" i="2"/>
  <c r="AE87" i="2"/>
  <c r="AD87" i="2"/>
  <c r="AD91" i="2"/>
  <c r="AE96" i="2"/>
  <c r="AH102" i="2"/>
  <c r="AF102" i="2"/>
  <c r="AE102" i="2"/>
  <c r="AH106" i="2"/>
  <c r="AG184" i="2"/>
  <c r="AG200" i="2"/>
  <c r="AH205" i="2"/>
  <c r="AK205" i="2" s="1"/>
  <c r="AL205" i="2" s="1"/>
  <c r="AN205" i="2" s="1"/>
  <c r="AG390" i="2"/>
  <c r="AF390" i="2"/>
  <c r="AG83" i="2"/>
  <c r="AE83" i="2"/>
  <c r="AD83" i="2"/>
  <c r="AH83" i="2"/>
  <c r="AG162" i="2"/>
  <c r="AF162" i="2"/>
  <c r="AE162" i="2"/>
  <c r="AD162" i="2"/>
  <c r="AH162" i="2"/>
  <c r="AD10" i="2"/>
  <c r="AG19" i="2"/>
  <c r="AD26" i="2"/>
  <c r="AE29" i="2"/>
  <c r="AG35" i="2"/>
  <c r="AD42" i="2"/>
  <c r="AG51" i="2"/>
  <c r="AD58" i="2"/>
  <c r="AE61" i="2"/>
  <c r="AG67" i="2"/>
  <c r="AH70" i="2"/>
  <c r="AF76" i="2"/>
  <c r="AH86" i="2"/>
  <c r="AF86" i="2"/>
  <c r="AE86" i="2"/>
  <c r="AG98" i="2"/>
  <c r="AF98" i="2"/>
  <c r="AE98" i="2"/>
  <c r="AD98" i="2"/>
  <c r="U98" i="2"/>
  <c r="AF103" i="2"/>
  <c r="AG114" i="2"/>
  <c r="AF114" i="2"/>
  <c r="AE114" i="2"/>
  <c r="AD114" i="2"/>
  <c r="U114" i="2"/>
  <c r="AF115" i="2"/>
  <c r="AH123" i="2"/>
  <c r="AG123" i="2"/>
  <c r="AF123" i="2"/>
  <c r="AE123" i="2"/>
  <c r="AD123" i="2"/>
  <c r="AH184" i="2"/>
  <c r="AE184" i="2"/>
  <c r="U184" i="2"/>
  <c r="V184" i="2" s="1"/>
  <c r="AH200" i="2"/>
  <c r="AK200" i="2" s="1"/>
  <c r="AL200" i="2" s="1"/>
  <c r="AE200" i="2"/>
  <c r="U200" i="2"/>
  <c r="V200" i="2" s="1"/>
  <c r="AG349" i="2"/>
  <c r="AF349" i="2"/>
  <c r="AD349" i="2"/>
  <c r="AD7" i="2"/>
  <c r="AE10" i="2"/>
  <c r="AD23" i="2"/>
  <c r="AE26" i="2"/>
  <c r="AD39" i="2"/>
  <c r="AE42" i="2"/>
  <c r="AG48" i="2"/>
  <c r="AD55" i="2"/>
  <c r="AE58" i="2"/>
  <c r="AG64" i="2"/>
  <c r="AD71" i="2"/>
  <c r="AG74" i="2"/>
  <c r="AG75" i="2"/>
  <c r="AF82" i="2"/>
  <c r="U86" i="2"/>
  <c r="V86" i="2" s="1"/>
  <c r="AF87" i="2"/>
  <c r="AD90" i="2"/>
  <c r="AF99" i="2"/>
  <c r="AG103" i="2"/>
  <c r="AG137" i="2"/>
  <c r="AH138" i="2"/>
  <c r="AK138" i="2" s="1"/>
  <c r="AL138" i="2" s="1"/>
  <c r="AG216" i="2"/>
  <c r="AF220" i="2"/>
  <c r="AE220" i="2"/>
  <c r="AH220" i="2"/>
  <c r="AG220" i="2"/>
  <c r="AD220" i="2"/>
  <c r="AH258" i="2"/>
  <c r="AG258" i="2"/>
  <c r="AF258" i="2"/>
  <c r="AE258" i="2"/>
  <c r="AD258" i="2"/>
  <c r="E7" i="1"/>
  <c r="AD4" i="2"/>
  <c r="AE7" i="2"/>
  <c r="AF10" i="2"/>
  <c r="AG13" i="2"/>
  <c r="AD20" i="2"/>
  <c r="AE23" i="2"/>
  <c r="AF26" i="2"/>
  <c r="AG29" i="2"/>
  <c r="AD36" i="2"/>
  <c r="AE39" i="2"/>
  <c r="AF42" i="2"/>
  <c r="AG45" i="2"/>
  <c r="AD52" i="2"/>
  <c r="AE55" i="2"/>
  <c r="AF58" i="2"/>
  <c r="AD68" i="2"/>
  <c r="AE71" i="2"/>
  <c r="AH82" i="2"/>
  <c r="AG87" i="2"/>
  <c r="AE105" i="2"/>
  <c r="AH107" i="2"/>
  <c r="AK107" i="2" s="1"/>
  <c r="AL107" i="2" s="1"/>
  <c r="AN107" i="2" s="1"/>
  <c r="AG107" i="2"/>
  <c r="AF107" i="2"/>
  <c r="AE107" i="2"/>
  <c r="AD107" i="2"/>
  <c r="AH117" i="2"/>
  <c r="AD118" i="2"/>
  <c r="AH126" i="2"/>
  <c r="AG133" i="2"/>
  <c r="AE137" i="2"/>
  <c r="U137" i="2"/>
  <c r="V137" i="2" s="1"/>
  <c r="AH149" i="2"/>
  <c r="AG149" i="2"/>
  <c r="AF149" i="2"/>
  <c r="AE149" i="2"/>
  <c r="AD149" i="2"/>
  <c r="AH165" i="2"/>
  <c r="AG165" i="2"/>
  <c r="AF165" i="2"/>
  <c r="AE165" i="2"/>
  <c r="AD165" i="2"/>
  <c r="AH216" i="2"/>
  <c r="AE216" i="2"/>
  <c r="U216" i="2"/>
  <c r="V216" i="2" s="1"/>
  <c r="AH218" i="2"/>
  <c r="AF277" i="2"/>
  <c r="AD277" i="2"/>
  <c r="U277" i="2"/>
  <c r="V277" i="2" s="1"/>
  <c r="H6" i="1"/>
  <c r="E5" i="1"/>
  <c r="F5" i="1"/>
  <c r="G5" i="1"/>
  <c r="AE4" i="2"/>
  <c r="AG10" i="2"/>
  <c r="AD17" i="2"/>
  <c r="AE20" i="2"/>
  <c r="AG26" i="2"/>
  <c r="AD33" i="2"/>
  <c r="AE36" i="2"/>
  <c r="AG42" i="2"/>
  <c r="AE52" i="2"/>
  <c r="AG58" i="2"/>
  <c r="AE68" i="2"/>
  <c r="AH85" i="2"/>
  <c r="AH105" i="2"/>
  <c r="AG118" i="2"/>
  <c r="U123" i="2"/>
  <c r="V123" i="2" s="1"/>
  <c r="U126" i="2"/>
  <c r="AE126" i="2"/>
  <c r="AH135" i="2"/>
  <c r="AE135" i="2"/>
  <c r="AH139" i="2"/>
  <c r="AK139" i="2" s="1"/>
  <c r="AL139" i="2" s="1"/>
  <c r="AG151" i="2"/>
  <c r="AG167" i="2"/>
  <c r="AF238" i="2"/>
  <c r="AF4" i="2"/>
  <c r="AG7" i="2"/>
  <c r="AD14" i="2"/>
  <c r="AE17" i="2"/>
  <c r="AF20" i="2"/>
  <c r="AG23" i="2"/>
  <c r="AD30" i="2"/>
  <c r="AE33" i="2"/>
  <c r="AF36" i="2"/>
  <c r="AG39" i="2"/>
  <c r="AD46" i="2"/>
  <c r="AE49" i="2"/>
  <c r="AF52" i="2"/>
  <c r="AG55" i="2"/>
  <c r="AD62" i="2"/>
  <c r="AE65" i="2"/>
  <c r="AF68" i="2"/>
  <c r="AG71" i="2"/>
  <c r="AG94" i="2"/>
  <c r="AD102" i="2"/>
  <c r="AG104" i="2"/>
  <c r="AH110" i="2"/>
  <c r="AG146" i="2"/>
  <c r="AE146" i="2"/>
  <c r="AD146" i="2"/>
  <c r="AH146" i="2"/>
  <c r="AG4" i="2"/>
  <c r="AD11" i="2"/>
  <c r="AE14" i="2"/>
  <c r="AF17" i="2"/>
  <c r="AG20" i="2"/>
  <c r="AD27" i="2"/>
  <c r="AE30" i="2"/>
  <c r="AF33" i="2"/>
  <c r="AG36" i="2"/>
  <c r="AD43" i="2"/>
  <c r="AE46" i="2"/>
  <c r="AF49" i="2"/>
  <c r="AG52" i="2"/>
  <c r="AD59" i="2"/>
  <c r="AE62" i="2"/>
  <c r="AF65" i="2"/>
  <c r="AG68" i="2"/>
  <c r="AH78" i="2"/>
  <c r="AE80" i="2"/>
  <c r="AD86" i="2"/>
  <c r="AG102" i="2"/>
  <c r="U107" i="2"/>
  <c r="U110" i="2"/>
  <c r="AE110" i="2"/>
  <c r="AD122" i="2"/>
  <c r="AF135" i="2"/>
  <c r="AH142" i="2"/>
  <c r="AK142" i="2" s="1"/>
  <c r="AL142" i="2" s="1"/>
  <c r="U146" i="2"/>
  <c r="AF247" i="2"/>
  <c r="AE247" i="2"/>
  <c r="AD247" i="2"/>
  <c r="U253" i="2"/>
  <c r="AG253" i="2"/>
  <c r="AF253" i="2"/>
  <c r="AE253" i="2"/>
  <c r="AD253" i="2"/>
  <c r="AE74" i="2"/>
  <c r="AH80" i="2"/>
  <c r="AG86" i="2"/>
  <c r="AF88" i="2"/>
  <c r="AG126" i="2"/>
  <c r="AH134" i="2"/>
  <c r="AF134" i="2"/>
  <c r="AE134" i="2"/>
  <c r="AD134" i="2"/>
  <c r="AG135" i="2"/>
  <c r="AH137" i="2"/>
  <c r="AH181" i="2"/>
  <c r="AG181" i="2"/>
  <c r="AF181" i="2"/>
  <c r="AE181" i="2"/>
  <c r="AD181" i="2"/>
  <c r="AH197" i="2"/>
  <c r="AK197" i="2" s="1"/>
  <c r="AL197" i="2" s="1"/>
  <c r="AG197" i="2"/>
  <c r="AF197" i="2"/>
  <c r="AE197" i="2"/>
  <c r="AD197" i="2"/>
  <c r="AH226" i="2"/>
  <c r="AG226" i="2"/>
  <c r="AF226" i="2"/>
  <c r="AE226" i="2"/>
  <c r="AD226" i="2"/>
  <c r="AF77" i="2"/>
  <c r="AF93" i="2"/>
  <c r="AE106" i="2"/>
  <c r="AF109" i="2"/>
  <c r="AG112" i="2"/>
  <c r="AE122" i="2"/>
  <c r="AF125" i="2"/>
  <c r="AG128" i="2"/>
  <c r="AE138" i="2"/>
  <c r="AF141" i="2"/>
  <c r="AE153" i="2"/>
  <c r="AF156" i="2"/>
  <c r="AG159" i="2"/>
  <c r="AE169" i="2"/>
  <c r="AF172" i="2"/>
  <c r="AG175" i="2"/>
  <c r="AE185" i="2"/>
  <c r="AF188" i="2"/>
  <c r="AG191" i="2"/>
  <c r="AD198" i="2"/>
  <c r="AE201" i="2"/>
  <c r="AF204" i="2"/>
  <c r="AG207" i="2"/>
  <c r="AE217" i="2"/>
  <c r="AG221" i="2"/>
  <c r="U224" i="2"/>
  <c r="AH227" i="2"/>
  <c r="AD228" i="2"/>
  <c r="AE233" i="2"/>
  <c r="AD233" i="2"/>
  <c r="AF233" i="2"/>
  <c r="AE250" i="2"/>
  <c r="AE251" i="2"/>
  <c r="AG273" i="2"/>
  <c r="AF273" i="2"/>
  <c r="AE273" i="2"/>
  <c r="AD273" i="2"/>
  <c r="U285" i="2"/>
  <c r="AH285" i="2"/>
  <c r="AE285" i="2"/>
  <c r="AH112" i="2"/>
  <c r="AH128" i="2"/>
  <c r="AE150" i="2"/>
  <c r="AH159" i="2"/>
  <c r="U161" i="2"/>
  <c r="AE166" i="2"/>
  <c r="AH175" i="2"/>
  <c r="U177" i="2"/>
  <c r="AD179" i="2"/>
  <c r="AE182" i="2"/>
  <c r="AH191" i="2"/>
  <c r="AK191" i="2" s="1"/>
  <c r="AL191" i="2" s="1"/>
  <c r="U193" i="2"/>
  <c r="AD195" i="2"/>
  <c r="AE198" i="2"/>
  <c r="AH207" i="2"/>
  <c r="AK207" i="2" s="1"/>
  <c r="AL207" i="2" s="1"/>
  <c r="AN207" i="2" s="1"/>
  <c r="U209" i="2"/>
  <c r="AD211" i="2"/>
  <c r="AE214" i="2"/>
  <c r="AE228" i="2"/>
  <c r="AD237" i="2"/>
  <c r="AH238" i="2"/>
  <c r="AE238" i="2"/>
  <c r="AD238" i="2"/>
  <c r="U246" i="2"/>
  <c r="AF250" i="2"/>
  <c r="AH277" i="2"/>
  <c r="AK277" i="2" s="1"/>
  <c r="AL277" i="2" s="1"/>
  <c r="AD139" i="2"/>
  <c r="AE142" i="2"/>
  <c r="AD154" i="2"/>
  <c r="AE157" i="2"/>
  <c r="AD170" i="2"/>
  <c r="AE173" i="2"/>
  <c r="AD186" i="2"/>
  <c r="AE189" i="2"/>
  <c r="AD202" i="2"/>
  <c r="AE205" i="2"/>
  <c r="AD218" i="2"/>
  <c r="AD223" i="2"/>
  <c r="AD224" i="2"/>
  <c r="AE229" i="2"/>
  <c r="AH236" i="2"/>
  <c r="AG237" i="2"/>
  <c r="AH242" i="2"/>
  <c r="AG242" i="2"/>
  <c r="AF242" i="2"/>
  <c r="AD242" i="2"/>
  <c r="AF252" i="2"/>
  <c r="AE252" i="2"/>
  <c r="AD252" i="2"/>
  <c r="AH252" i="2"/>
  <c r="AG252" i="2"/>
  <c r="U258" i="2"/>
  <c r="AH274" i="2"/>
  <c r="AK274" i="2" s="1"/>
  <c r="AL274" i="2" s="1"/>
  <c r="AG274" i="2"/>
  <c r="AF274" i="2"/>
  <c r="AE274" i="2"/>
  <c r="AD274" i="2"/>
  <c r="AE287" i="2"/>
  <c r="AH287" i="2"/>
  <c r="AG287" i="2"/>
  <c r="AF287" i="2"/>
  <c r="U315" i="2"/>
  <c r="AH315" i="2"/>
  <c r="AF315" i="2"/>
  <c r="AF382" i="2"/>
  <c r="AE382" i="2"/>
  <c r="AD382" i="2"/>
  <c r="U382" i="2"/>
  <c r="AH382" i="2"/>
  <c r="AK382" i="2" s="1"/>
  <c r="AL382" i="2" s="1"/>
  <c r="AN382" i="2" s="1"/>
  <c r="AG382" i="2"/>
  <c r="AF78" i="2"/>
  <c r="AD88" i="2"/>
  <c r="AF94" i="2"/>
  <c r="AG97" i="2"/>
  <c r="AD104" i="2"/>
  <c r="AF110" i="2"/>
  <c r="AG113" i="2"/>
  <c r="AD120" i="2"/>
  <c r="AF126" i="2"/>
  <c r="AG129" i="2"/>
  <c r="AD136" i="2"/>
  <c r="AE139" i="2"/>
  <c r="AF142" i="2"/>
  <c r="AG144" i="2"/>
  <c r="AD151" i="2"/>
  <c r="AE154" i="2"/>
  <c r="AF157" i="2"/>
  <c r="AG160" i="2"/>
  <c r="AD167" i="2"/>
  <c r="AE170" i="2"/>
  <c r="AF173" i="2"/>
  <c r="AG176" i="2"/>
  <c r="AD183" i="2"/>
  <c r="AE186" i="2"/>
  <c r="AF189" i="2"/>
  <c r="AG192" i="2"/>
  <c r="AD199" i="2"/>
  <c r="AE202" i="2"/>
  <c r="AF205" i="2"/>
  <c r="AG208" i="2"/>
  <c r="AD215" i="2"/>
  <c r="AE218" i="2"/>
  <c r="AG222" i="2"/>
  <c r="AE224" i="2"/>
  <c r="AE230" i="2"/>
  <c r="U252" i="2"/>
  <c r="V252" i="2" s="1"/>
  <c r="AG269" i="2"/>
  <c r="U274" i="2"/>
  <c r="V274" i="2" s="1"/>
  <c r="AF284" i="2"/>
  <c r="AE284" i="2"/>
  <c r="AD284" i="2"/>
  <c r="AH284" i="2"/>
  <c r="AG284" i="2"/>
  <c r="AF285" i="2"/>
  <c r="AD85" i="2"/>
  <c r="AE88" i="2"/>
  <c r="AD101" i="2"/>
  <c r="AE104" i="2"/>
  <c r="AH113" i="2"/>
  <c r="AD117" i="2"/>
  <c r="AE120" i="2"/>
  <c r="AH129" i="2"/>
  <c r="AD133" i="2"/>
  <c r="AE136" i="2"/>
  <c r="AF139" i="2"/>
  <c r="AG142" i="2"/>
  <c r="AH144" i="2"/>
  <c r="AD148" i="2"/>
  <c r="AE151" i="2"/>
  <c r="AF154" i="2"/>
  <c r="AG157" i="2"/>
  <c r="AH160" i="2"/>
  <c r="AD164" i="2"/>
  <c r="AE167" i="2"/>
  <c r="AF170" i="2"/>
  <c r="AG173" i="2"/>
  <c r="AH176" i="2"/>
  <c r="AD180" i="2"/>
  <c r="AE183" i="2"/>
  <c r="AF186" i="2"/>
  <c r="AG189" i="2"/>
  <c r="AH192" i="2"/>
  <c r="AK192" i="2" s="1"/>
  <c r="AL192" i="2" s="1"/>
  <c r="AD196" i="2"/>
  <c r="AE199" i="2"/>
  <c r="AF202" i="2"/>
  <c r="AG205" i="2"/>
  <c r="AH208" i="2"/>
  <c r="AK208" i="2" s="1"/>
  <c r="AL208" i="2" s="1"/>
  <c r="AD212" i="2"/>
  <c r="AE215" i="2"/>
  <c r="AF218" i="2"/>
  <c r="AF224" i="2"/>
  <c r="AF230" i="2"/>
  <c r="AD231" i="2"/>
  <c r="AE235" i="2"/>
  <c r="AF246" i="2"/>
  <c r="AH254" i="2"/>
  <c r="AE254" i="2"/>
  <c r="AD254" i="2"/>
  <c r="U269" i="2"/>
  <c r="V269" i="2" s="1"/>
  <c r="AH269" i="2"/>
  <c r="AK269" i="2" s="1"/>
  <c r="AL269" i="2" s="1"/>
  <c r="AE269" i="2"/>
  <c r="AE325" i="2"/>
  <c r="AG325" i="2"/>
  <c r="AH325" i="2"/>
  <c r="AF325" i="2"/>
  <c r="AD325" i="2"/>
  <c r="AH387" i="2"/>
  <c r="AK387" i="2" s="1"/>
  <c r="AL387" i="2" s="1"/>
  <c r="AN387" i="2" s="1"/>
  <c r="AF387" i="2"/>
  <c r="AE387" i="2"/>
  <c r="AE85" i="2"/>
  <c r="AE101" i="2"/>
  <c r="AF104" i="2"/>
  <c r="AE117" i="2"/>
  <c r="AF120" i="2"/>
  <c r="AE133" i="2"/>
  <c r="AF136" i="2"/>
  <c r="AG139" i="2"/>
  <c r="AE148" i="2"/>
  <c r="AF151" i="2"/>
  <c r="AG154" i="2"/>
  <c r="AD161" i="2"/>
  <c r="AE164" i="2"/>
  <c r="AF167" i="2"/>
  <c r="AG170" i="2"/>
  <c r="AD177" i="2"/>
  <c r="AE180" i="2"/>
  <c r="AF183" i="2"/>
  <c r="AG186" i="2"/>
  <c r="AD193" i="2"/>
  <c r="AE196" i="2"/>
  <c r="AF199" i="2"/>
  <c r="AG202" i="2"/>
  <c r="AD209" i="2"/>
  <c r="AE212" i="2"/>
  <c r="AF215" i="2"/>
  <c r="AG218" i="2"/>
  <c r="AG230" i="2"/>
  <c r="AE231" i="2"/>
  <c r="AF235" i="2"/>
  <c r="AG246" i="2"/>
  <c r="AF279" i="2"/>
  <c r="AE279" i="2"/>
  <c r="AF85" i="2"/>
  <c r="AF101" i="2"/>
  <c r="AD111" i="2"/>
  <c r="AF117" i="2"/>
  <c r="AD127" i="2"/>
  <c r="AF133" i="2"/>
  <c r="AF148" i="2"/>
  <c r="AD158" i="2"/>
  <c r="AE161" i="2"/>
  <c r="AF164" i="2"/>
  <c r="AE177" i="2"/>
  <c r="AF180" i="2"/>
  <c r="AD190" i="2"/>
  <c r="AE193" i="2"/>
  <c r="AF196" i="2"/>
  <c r="AD206" i="2"/>
  <c r="AE209" i="2"/>
  <c r="AF212" i="2"/>
  <c r="AH230" i="2"/>
  <c r="AD232" i="2"/>
  <c r="AG233" i="2"/>
  <c r="AG235" i="2"/>
  <c r="AG239" i="2"/>
  <c r="AF239" i="2"/>
  <c r="AE239" i="2"/>
  <c r="AH239" i="2"/>
  <c r="AF254" i="2"/>
  <c r="AG271" i="2"/>
  <c r="AH333" i="2"/>
  <c r="AG333" i="2"/>
  <c r="AF333" i="2"/>
  <c r="AE333" i="2"/>
  <c r="AD333" i="2"/>
  <c r="AF161" i="2"/>
  <c r="AD171" i="2"/>
  <c r="AF177" i="2"/>
  <c r="AF193" i="2"/>
  <c r="AD203" i="2"/>
  <c r="AF209" i="2"/>
  <c r="AD219" i="2"/>
  <c r="AH235" i="2"/>
  <c r="AG254" i="2"/>
  <c r="U256" i="2"/>
  <c r="V256" i="2" s="1"/>
  <c r="AD256" i="2"/>
  <c r="AH266" i="2"/>
  <c r="AG266" i="2"/>
  <c r="AF266" i="2"/>
  <c r="AD266" i="2"/>
  <c r="AD287" i="2"/>
  <c r="AF424" i="2"/>
  <c r="AD424" i="2"/>
  <c r="AF79" i="2"/>
  <c r="AD89" i="2"/>
  <c r="AE92" i="2"/>
  <c r="AF95" i="2"/>
  <c r="AD105" i="2"/>
  <c r="AE108" i="2"/>
  <c r="AD121" i="2"/>
  <c r="AE124" i="2"/>
  <c r="AD137" i="2"/>
  <c r="AD152" i="2"/>
  <c r="AE155" i="2"/>
  <c r="AG161" i="2"/>
  <c r="AD168" i="2"/>
  <c r="AE171" i="2"/>
  <c r="AG177" i="2"/>
  <c r="AD184" i="2"/>
  <c r="AE187" i="2"/>
  <c r="AG193" i="2"/>
  <c r="AD200" i="2"/>
  <c r="AE203" i="2"/>
  <c r="AG209" i="2"/>
  <c r="AD216" i="2"/>
  <c r="AE225" i="2"/>
  <c r="AH229" i="2"/>
  <c r="AG229" i="2"/>
  <c r="AG260" i="2"/>
  <c r="AD261" i="2"/>
  <c r="U266" i="2"/>
  <c r="V266" i="2" s="1"/>
  <c r="AD269" i="2"/>
  <c r="AG292" i="2"/>
  <c r="AF302" i="2"/>
  <c r="AD302" i="2"/>
  <c r="AH302" i="2"/>
  <c r="AG302" i="2"/>
  <c r="AE302" i="2"/>
  <c r="AG223" i="2"/>
  <c r="AF223" i="2"/>
  <c r="AE223" i="2"/>
  <c r="AG255" i="2"/>
  <c r="AF255" i="2"/>
  <c r="AE255" i="2"/>
  <c r="AD255" i="2"/>
  <c r="AH255" i="2"/>
  <c r="AH263" i="2"/>
  <c r="U426" i="2"/>
  <c r="AF426" i="2"/>
  <c r="AD426" i="2"/>
  <c r="AF89" i="2"/>
  <c r="AF105" i="2"/>
  <c r="AF121" i="2"/>
  <c r="AF137" i="2"/>
  <c r="AF152" i="2"/>
  <c r="AF168" i="2"/>
  <c r="AF184" i="2"/>
  <c r="AF200" i="2"/>
  <c r="AF216" i="2"/>
  <c r="AD227" i="2"/>
  <c r="AE249" i="2"/>
  <c r="AD249" i="2"/>
  <c r="AF249" i="2"/>
  <c r="AF257" i="2"/>
  <c r="AE257" i="2"/>
  <c r="AF268" i="2"/>
  <c r="AE268" i="2"/>
  <c r="AD268" i="2"/>
  <c r="AH268" i="2"/>
  <c r="AK268" i="2" s="1"/>
  <c r="AL268" i="2" s="1"/>
  <c r="AG268" i="2"/>
  <c r="AG288" i="2"/>
  <c r="AF288" i="2"/>
  <c r="AE288" i="2"/>
  <c r="AD288" i="2"/>
  <c r="AH288" i="2"/>
  <c r="AD112" i="2"/>
  <c r="AD128" i="2"/>
  <c r="AD159" i="2"/>
  <c r="AD175" i="2"/>
  <c r="AD191" i="2"/>
  <c r="AD207" i="2"/>
  <c r="AD221" i="2"/>
  <c r="AE227" i="2"/>
  <c r="AF236" i="2"/>
  <c r="AE236" i="2"/>
  <c r="AD236" i="2"/>
  <c r="AG236" i="2"/>
  <c r="AF241" i="2"/>
  <c r="AE241" i="2"/>
  <c r="U249" i="2"/>
  <c r="AE256" i="2"/>
  <c r="U268" i="2"/>
  <c r="V283" i="2"/>
  <c r="W283" i="2" s="1"/>
  <c r="X283" i="2" s="1"/>
  <c r="U288" i="2"/>
  <c r="AH294" i="2"/>
  <c r="AF294" i="2"/>
  <c r="AG294" i="2"/>
  <c r="AD294" i="2"/>
  <c r="AD246" i="2"/>
  <c r="AE246" i="2"/>
  <c r="AH251" i="2"/>
  <c r="AG251" i="2"/>
  <c r="AD251" i="2"/>
  <c r="AE260" i="2"/>
  <c r="AD260" i="2"/>
  <c r="AF263" i="2"/>
  <c r="AE263" i="2"/>
  <c r="U230" i="2"/>
  <c r="V230" i="2" s="1"/>
  <c r="AG231" i="2"/>
  <c r="AH232" i="2"/>
  <c r="AH234" i="2"/>
  <c r="AD239" i="2"/>
  <c r="AF240" i="2"/>
  <c r="AD241" i="2"/>
  <c r="AH245" i="2"/>
  <c r="AG245" i="2"/>
  <c r="AE245" i="2"/>
  <c r="AH247" i="2"/>
  <c r="U248" i="2"/>
  <c r="V248" i="2" s="1"/>
  <c r="AG256" i="2"/>
  <c r="AG257" i="2"/>
  <c r="AG285" i="2"/>
  <c r="AE351" i="2"/>
  <c r="AH351" i="2"/>
  <c r="AK351" i="2" s="1"/>
  <c r="AL351" i="2" s="1"/>
  <c r="AN351" i="2" s="1"/>
  <c r="AG351" i="2"/>
  <c r="AF351" i="2"/>
  <c r="AD351" i="2"/>
  <c r="AE262" i="2"/>
  <c r="AF265" i="2"/>
  <c r="AH271" i="2"/>
  <c r="AK271" i="2" s="1"/>
  <c r="AL271" i="2" s="1"/>
  <c r="AE278" i="2"/>
  <c r="AF281" i="2"/>
  <c r="AE296" i="2"/>
  <c r="AF297" i="2"/>
  <c r="AH309" i="2"/>
  <c r="AG317" i="2"/>
  <c r="AF317" i="2"/>
  <c r="AE317" i="2"/>
  <c r="AD317" i="2"/>
  <c r="AH340" i="2"/>
  <c r="AK340" i="2" s="1"/>
  <c r="AL340" i="2" s="1"/>
  <c r="AN340" i="2" s="1"/>
  <c r="AG340" i="2"/>
  <c r="AF340" i="2"/>
  <c r="AE340" i="2"/>
  <c r="AD340" i="2"/>
  <c r="AH346" i="2"/>
  <c r="AK346" i="2" s="1"/>
  <c r="AL346" i="2" s="1"/>
  <c r="AN346" i="2" s="1"/>
  <c r="AH361" i="2"/>
  <c r="AK361" i="2" s="1"/>
  <c r="AL361" i="2" s="1"/>
  <c r="AN361" i="2" s="1"/>
  <c r="AD361" i="2"/>
  <c r="AE380" i="2"/>
  <c r="AF262" i="2"/>
  <c r="AG265" i="2"/>
  <c r="AD272" i="2"/>
  <c r="AF278" i="2"/>
  <c r="AG281" i="2"/>
  <c r="AG290" i="2"/>
  <c r="AH323" i="2"/>
  <c r="AG323" i="2"/>
  <c r="AF353" i="2"/>
  <c r="AE390" i="2"/>
  <c r="AH278" i="2"/>
  <c r="U287" i="2"/>
  <c r="V287" i="2" s="1"/>
  <c r="U302" i="2"/>
  <c r="V302" i="2" s="1"/>
  <c r="AE315" i="2"/>
  <c r="AG315" i="2"/>
  <c r="AG365" i="2"/>
  <c r="AF365" i="2"/>
  <c r="AD365" i="2"/>
  <c r="U365" i="2"/>
  <c r="AH272" i="2"/>
  <c r="AK272" i="2" s="1"/>
  <c r="AL272" i="2" s="1"/>
  <c r="AN272" i="2" s="1"/>
  <c r="AD276" i="2"/>
  <c r="AD292" i="2"/>
  <c r="AE299" i="2"/>
  <c r="AG299" i="2"/>
  <c r="AD303" i="2"/>
  <c r="U306" i="2"/>
  <c r="AF306" i="2"/>
  <c r="AD306" i="2"/>
  <c r="AH307" i="2"/>
  <c r="AG307" i="2"/>
  <c r="AF307" i="2"/>
  <c r="AE307" i="2"/>
  <c r="U325" i="2"/>
  <c r="AH342" i="2"/>
  <c r="AK342" i="2" s="1"/>
  <c r="AL342" i="2" s="1"/>
  <c r="AN342" i="2" s="1"/>
  <c r="AE353" i="2"/>
  <c r="AH353" i="2"/>
  <c r="AK353" i="2" s="1"/>
  <c r="AL353" i="2" s="1"/>
  <c r="AN353" i="2" s="1"/>
  <c r="AG353" i="2"/>
  <c r="AE276" i="2"/>
  <c r="AH300" i="2"/>
  <c r="AD300" i="2"/>
  <c r="AF303" i="2"/>
  <c r="AE316" i="2"/>
  <c r="AF318" i="2"/>
  <c r="AD318" i="2"/>
  <c r="AH318" i="2"/>
  <c r="AG247" i="2"/>
  <c r="AF260" i="2"/>
  <c r="AG263" i="2"/>
  <c r="AD270" i="2"/>
  <c r="AF276" i="2"/>
  <c r="AG279" i="2"/>
  <c r="AD286" i="2"/>
  <c r="AG297" i="2"/>
  <c r="AH298" i="2"/>
  <c r="AG298" i="2"/>
  <c r="AD298" i="2"/>
  <c r="U300" i="2"/>
  <c r="AG303" i="2"/>
  <c r="AE305" i="2"/>
  <c r="AD307" i="2"/>
  <c r="AH314" i="2"/>
  <c r="AG314" i="2"/>
  <c r="AF314" i="2"/>
  <c r="AE314" i="2"/>
  <c r="AD314" i="2"/>
  <c r="AF316" i="2"/>
  <c r="U318" i="2"/>
  <c r="AE326" i="2"/>
  <c r="AD355" i="2"/>
  <c r="AH355" i="2"/>
  <c r="AK355" i="2" s="1"/>
  <c r="AL355" i="2" s="1"/>
  <c r="AN355" i="2" s="1"/>
  <c r="AD267" i="2"/>
  <c r="AE270" i="2"/>
  <c r="AD283" i="2"/>
  <c r="AE286" i="2"/>
  <c r="AF290" i="2"/>
  <c r="AD311" i="2"/>
  <c r="AD315" i="2"/>
  <c r="AD319" i="2"/>
  <c r="AE321" i="2"/>
  <c r="AH324" i="2"/>
  <c r="AG324" i="2"/>
  <c r="AF324" i="2"/>
  <c r="AE324" i="2"/>
  <c r="AD324" i="2"/>
  <c r="AF326" i="2"/>
  <c r="AG336" i="2"/>
  <c r="AF336" i="2"/>
  <c r="AE336" i="2"/>
  <c r="AH350" i="2"/>
  <c r="AK350" i="2" s="1"/>
  <c r="AL350" i="2" s="1"/>
  <c r="AN350" i="2" s="1"/>
  <c r="AE267" i="2"/>
  <c r="AF270" i="2"/>
  <c r="U278" i="2"/>
  <c r="AE283" i="2"/>
  <c r="AF286" i="2"/>
  <c r="AD296" i="2"/>
  <c r="AH296" i="2"/>
  <c r="AF296" i="2"/>
  <c r="AF319" i="2"/>
  <c r="AF328" i="2"/>
  <c r="AD328" i="2"/>
  <c r="AH328" i="2"/>
  <c r="AE331" i="2"/>
  <c r="AE347" i="2"/>
  <c r="AG354" i="2"/>
  <c r="AH359" i="2"/>
  <c r="AK359" i="2" s="1"/>
  <c r="AL359" i="2" s="1"/>
  <c r="AN359" i="2" s="1"/>
  <c r="AG359" i="2"/>
  <c r="AF359" i="2"/>
  <c r="AE359" i="2"/>
  <c r="AD359" i="2"/>
  <c r="AF301" i="2"/>
  <c r="AE301" i="2"/>
  <c r="AH334" i="2"/>
  <c r="AF334" i="2"/>
  <c r="AE334" i="2"/>
  <c r="AD334" i="2"/>
  <c r="AH339" i="2"/>
  <c r="AK339" i="2" s="1"/>
  <c r="AL339" i="2" s="1"/>
  <c r="AN339" i="2" s="1"/>
  <c r="AG339" i="2"/>
  <c r="AF339" i="2"/>
  <c r="AE341" i="2"/>
  <c r="AD341" i="2"/>
  <c r="AG341" i="2"/>
  <c r="AF347" i="2"/>
  <c r="U347" i="2"/>
  <c r="V347" i="2" s="1"/>
  <c r="U412" i="2"/>
  <c r="AE412" i="2"/>
  <c r="U440" i="2"/>
  <c r="V440" i="2" s="1"/>
  <c r="AD440" i="2"/>
  <c r="AE261" i="2"/>
  <c r="AG267" i="2"/>
  <c r="AE277" i="2"/>
  <c r="AG283" i="2"/>
  <c r="AE306" i="2"/>
  <c r="AE318" i="2"/>
  <c r="U321" i="2"/>
  <c r="V321" i="2" s="1"/>
  <c r="AD329" i="2"/>
  <c r="AD335" i="2"/>
  <c r="U341" i="2"/>
  <c r="AE342" i="2"/>
  <c r="AF344" i="2"/>
  <c r="AE344" i="2"/>
  <c r="AD344" i="2"/>
  <c r="AH344" i="2"/>
  <c r="AK344" i="2" s="1"/>
  <c r="AL344" i="2" s="1"/>
  <c r="AN344" i="2" s="1"/>
  <c r="AD345" i="2"/>
  <c r="AD271" i="2"/>
  <c r="AH292" i="2"/>
  <c r="AF292" i="2"/>
  <c r="AE292" i="2"/>
  <c r="AD301" i="2"/>
  <c r="AH304" i="2"/>
  <c r="AG304" i="2"/>
  <c r="AF304" i="2"/>
  <c r="AD304" i="2"/>
  <c r="AG306" i="2"/>
  <c r="AH308" i="2"/>
  <c r="AF308" i="2"/>
  <c r="AE308" i="2"/>
  <c r="AD308" i="2"/>
  <c r="AG310" i="2"/>
  <c r="AF310" i="2"/>
  <c r="AG318" i="2"/>
  <c r="AG321" i="2"/>
  <c r="AG331" i="2"/>
  <c r="AF335" i="2"/>
  <c r="AD339" i="2"/>
  <c r="AF342" i="2"/>
  <c r="AG347" i="2"/>
  <c r="AG261" i="2"/>
  <c r="AE271" i="2"/>
  <c r="AG277" i="2"/>
  <c r="AD289" i="2"/>
  <c r="AD299" i="2"/>
  <c r="AE300" i="2"/>
  <c r="AG301" i="2"/>
  <c r="U304" i="2"/>
  <c r="AH306" i="2"/>
  <c r="AD310" i="2"/>
  <c r="AG329" i="2"/>
  <c r="U334" i="2"/>
  <c r="AE339" i="2"/>
  <c r="AG345" i="2"/>
  <c r="AH378" i="2"/>
  <c r="AK378" i="2" s="1"/>
  <c r="AL378" i="2" s="1"/>
  <c r="AN378" i="2" s="1"/>
  <c r="AG378" i="2"/>
  <c r="AD378" i="2"/>
  <c r="AF378" i="2"/>
  <c r="AE378" i="2"/>
  <c r="AD265" i="2"/>
  <c r="AF271" i="2"/>
  <c r="AD281" i="2"/>
  <c r="AD297" i="2"/>
  <c r="AF299" i="2"/>
  <c r="AF300" i="2"/>
  <c r="AF305" i="2"/>
  <c r="AD309" i="2"/>
  <c r="AE310" i="2"/>
  <c r="AH320" i="2"/>
  <c r="AG320" i="2"/>
  <c r="AF320" i="2"/>
  <c r="AE320" i="2"/>
  <c r="AD320" i="2"/>
  <c r="AF321" i="2"/>
  <c r="AE328" i="2"/>
  <c r="AF331" i="2"/>
  <c r="AH347" i="2"/>
  <c r="AK347" i="2" s="1"/>
  <c r="AL347" i="2" s="1"/>
  <c r="AN347" i="2" s="1"/>
  <c r="AD354" i="2"/>
  <c r="U378" i="2"/>
  <c r="V378" i="2" s="1"/>
  <c r="AH409" i="2"/>
  <c r="AK409" i="2" s="1"/>
  <c r="AL409" i="2" s="1"/>
  <c r="AN409" i="2" s="1"/>
  <c r="AG409" i="2"/>
  <c r="AF409" i="2"/>
  <c r="AE409" i="2"/>
  <c r="AD409" i="2"/>
  <c r="AF289" i="2"/>
  <c r="AD290" i="2"/>
  <c r="U292" i="2"/>
  <c r="AE297" i="2"/>
  <c r="AE298" i="2"/>
  <c r="AH299" i="2"/>
  <c r="AG300" i="2"/>
  <c r="AE303" i="2"/>
  <c r="U308" i="2"/>
  <c r="AF309" i="2"/>
  <c r="AD312" i="2"/>
  <c r="U312" i="2"/>
  <c r="AH312" i="2"/>
  <c r="AF312" i="2"/>
  <c r="AH313" i="2"/>
  <c r="AG313" i="2"/>
  <c r="AG328" i="2"/>
  <c r="AH330" i="2"/>
  <c r="AG330" i="2"/>
  <c r="AF330" i="2"/>
  <c r="AE330" i="2"/>
  <c r="AD330" i="2"/>
  <c r="U330" i="2"/>
  <c r="AH331" i="2"/>
  <c r="AF341" i="2"/>
  <c r="AH343" i="2"/>
  <c r="AK343" i="2" s="1"/>
  <c r="AL343" i="2" s="1"/>
  <c r="AN343" i="2" s="1"/>
  <c r="AF371" i="2"/>
  <c r="AE371" i="2"/>
  <c r="AD371" i="2"/>
  <c r="AH371" i="2"/>
  <c r="AK371" i="2" s="1"/>
  <c r="AL371" i="2" s="1"/>
  <c r="AN371" i="2" s="1"/>
  <c r="AE293" i="2"/>
  <c r="AE322" i="2"/>
  <c r="AD332" i="2"/>
  <c r="AE335" i="2"/>
  <c r="AF338" i="2"/>
  <c r="AD348" i="2"/>
  <c r="U350" i="2"/>
  <c r="U354" i="2"/>
  <c r="V354" i="2" s="1"/>
  <c r="AF357" i="2"/>
  <c r="AF366" i="2"/>
  <c r="AE366" i="2"/>
  <c r="AD366" i="2"/>
  <c r="U366" i="2"/>
  <c r="AH367" i="2"/>
  <c r="AK367" i="2" s="1"/>
  <c r="AL367" i="2" s="1"/>
  <c r="AN367" i="2" s="1"/>
  <c r="AG367" i="2"/>
  <c r="AE367" i="2"/>
  <c r="AH393" i="2"/>
  <c r="AK393" i="2" s="1"/>
  <c r="AL393" i="2" s="1"/>
  <c r="AN393" i="2" s="1"/>
  <c r="AG393" i="2"/>
  <c r="AF393" i="2"/>
  <c r="AE393" i="2"/>
  <c r="AE422" i="2"/>
  <c r="AH422" i="2"/>
  <c r="AK422" i="2" s="1"/>
  <c r="AL422" i="2" s="1"/>
  <c r="AN422" i="2" s="1"/>
  <c r="AG422" i="2"/>
  <c r="AF422" i="2"/>
  <c r="AH480" i="2"/>
  <c r="AE480" i="2"/>
  <c r="AD316" i="2"/>
  <c r="AD326" i="2"/>
  <c r="AH338" i="2"/>
  <c r="AK338" i="2" s="1"/>
  <c r="AL338" i="2" s="1"/>
  <c r="AN338" i="2" s="1"/>
  <c r="AD342" i="2"/>
  <c r="AD367" i="2"/>
  <c r="AH383" i="2"/>
  <c r="AK383" i="2" s="1"/>
  <c r="AL383" i="2" s="1"/>
  <c r="AN383" i="2" s="1"/>
  <c r="AG383" i="2"/>
  <c r="AE383" i="2"/>
  <c r="AH402" i="2"/>
  <c r="AK402" i="2" s="1"/>
  <c r="AL402" i="2" s="1"/>
  <c r="AN402" i="2" s="1"/>
  <c r="AH403" i="2"/>
  <c r="AK403" i="2" s="1"/>
  <c r="AL403" i="2" s="1"/>
  <c r="AN403" i="2" s="1"/>
  <c r="AF403" i="2"/>
  <c r="AE403" i="2"/>
  <c r="U409" i="2"/>
  <c r="AH412" i="2"/>
  <c r="AH418" i="2"/>
  <c r="AD422" i="2"/>
  <c r="AH399" i="2"/>
  <c r="AK399" i="2" s="1"/>
  <c r="AL399" i="2" s="1"/>
  <c r="AN399" i="2" s="1"/>
  <c r="AG399" i="2"/>
  <c r="AE399" i="2"/>
  <c r="AD350" i="2"/>
  <c r="AG406" i="2"/>
  <c r="AF406" i="2"/>
  <c r="AH415" i="2"/>
  <c r="AG415" i="2"/>
  <c r="AE415" i="2"/>
  <c r="U462" i="2"/>
  <c r="AF462" i="2"/>
  <c r="AD346" i="2"/>
  <c r="AF350" i="2"/>
  <c r="AH358" i="2"/>
  <c r="AK358" i="2" s="1"/>
  <c r="AL358" i="2" s="1"/>
  <c r="AN358" i="2" s="1"/>
  <c r="AH364" i="2"/>
  <c r="AK364" i="2" s="1"/>
  <c r="AL364" i="2" s="1"/>
  <c r="AN364" i="2" s="1"/>
  <c r="AG364" i="2"/>
  <c r="AF364" i="2"/>
  <c r="AD364" i="2"/>
  <c r="AG369" i="2"/>
  <c r="AD393" i="2"/>
  <c r="AD399" i="2"/>
  <c r="AH420" i="2"/>
  <c r="AG420" i="2"/>
  <c r="AF420" i="2"/>
  <c r="AE420" i="2"/>
  <c r="AD420" i="2"/>
  <c r="AD327" i="2"/>
  <c r="AD343" i="2"/>
  <c r="AE346" i="2"/>
  <c r="AG350" i="2"/>
  <c r="AD352" i="2"/>
  <c r="AH365" i="2"/>
  <c r="AK365" i="2" s="1"/>
  <c r="AL365" i="2" s="1"/>
  <c r="AN365" i="2" s="1"/>
  <c r="AG366" i="2"/>
  <c r="AH388" i="2"/>
  <c r="AK388" i="2" s="1"/>
  <c r="AL388" i="2" s="1"/>
  <c r="AN388" i="2" s="1"/>
  <c r="AG388" i="2"/>
  <c r="AF388" i="2"/>
  <c r="AE388" i="2"/>
  <c r="U388" i="2"/>
  <c r="AF398" i="2"/>
  <c r="AE398" i="2"/>
  <c r="AD398" i="2"/>
  <c r="U398" i="2"/>
  <c r="AH398" i="2"/>
  <c r="AK398" i="2" s="1"/>
  <c r="AL398" i="2" s="1"/>
  <c r="AN398" i="2" s="1"/>
  <c r="AF399" i="2"/>
  <c r="AD415" i="2"/>
  <c r="AG435" i="2"/>
  <c r="AF435" i="2"/>
  <c r="AE435" i="2"/>
  <c r="U453" i="2"/>
  <c r="AH453" i="2"/>
  <c r="AE327" i="2"/>
  <c r="U338" i="2"/>
  <c r="AE343" i="2"/>
  <c r="AF346" i="2"/>
  <c r="AE352" i="2"/>
  <c r="AH377" i="2"/>
  <c r="AK377" i="2" s="1"/>
  <c r="AL377" i="2" s="1"/>
  <c r="AN377" i="2" s="1"/>
  <c r="AG377" i="2"/>
  <c r="AF377" i="2"/>
  <c r="AE377" i="2"/>
  <c r="AE402" i="2"/>
  <c r="AH404" i="2"/>
  <c r="AG404" i="2"/>
  <c r="AF404" i="2"/>
  <c r="AE404" i="2"/>
  <c r="AF414" i="2"/>
  <c r="AE414" i="2"/>
  <c r="AD414" i="2"/>
  <c r="U414" i="2"/>
  <c r="AH414" i="2"/>
  <c r="AF415" i="2"/>
  <c r="AG417" i="2"/>
  <c r="AE418" i="2"/>
  <c r="AF327" i="2"/>
  <c r="AF343" i="2"/>
  <c r="AG346" i="2"/>
  <c r="AG352" i="2"/>
  <c r="AE369" i="2"/>
  <c r="AG374" i="2"/>
  <c r="AF374" i="2"/>
  <c r="AD374" i="2"/>
  <c r="U377" i="2"/>
  <c r="V377" i="2" s="1"/>
  <c r="AG402" i="2"/>
  <c r="U404" i="2"/>
  <c r="V404" i="2" s="1"/>
  <c r="AG418" i="2"/>
  <c r="AH446" i="2"/>
  <c r="AG446" i="2"/>
  <c r="AD446" i="2"/>
  <c r="AF446" i="2"/>
  <c r="AE446" i="2"/>
  <c r="AG457" i="2"/>
  <c r="AF457" i="2"/>
  <c r="AH457" i="2"/>
  <c r="AE457" i="2"/>
  <c r="AD457" i="2"/>
  <c r="U457" i="2"/>
  <c r="AE483" i="2"/>
  <c r="AF483" i="2"/>
  <c r="AE311" i="2"/>
  <c r="AE337" i="2"/>
  <c r="AH356" i="2"/>
  <c r="AK356" i="2" s="1"/>
  <c r="AL356" i="2" s="1"/>
  <c r="AN356" i="2" s="1"/>
  <c r="AG356" i="2"/>
  <c r="AF356" i="2"/>
  <c r="AE356" i="2"/>
  <c r="U356" i="2"/>
  <c r="V356" i="2" s="1"/>
  <c r="AH372" i="2"/>
  <c r="AK372" i="2" s="1"/>
  <c r="AL372" i="2" s="1"/>
  <c r="AN372" i="2" s="1"/>
  <c r="AG372" i="2"/>
  <c r="AF372" i="2"/>
  <c r="AE372" i="2"/>
  <c r="U372" i="2"/>
  <c r="V372" i="2" s="1"/>
  <c r="U381" i="2"/>
  <c r="V381" i="2" s="1"/>
  <c r="AE385" i="2"/>
  <c r="AH394" i="2"/>
  <c r="AK394" i="2" s="1"/>
  <c r="AL394" i="2" s="1"/>
  <c r="AN394" i="2" s="1"/>
  <c r="AG394" i="2"/>
  <c r="AE394" i="2"/>
  <c r="AD394" i="2"/>
  <c r="AH423" i="2"/>
  <c r="AK423" i="2" s="1"/>
  <c r="AL423" i="2" s="1"/>
  <c r="AN423" i="2" s="1"/>
  <c r="AG423" i="2"/>
  <c r="AE423" i="2"/>
  <c r="AD423" i="2"/>
  <c r="AF295" i="2"/>
  <c r="AD305" i="2"/>
  <c r="AF311" i="2"/>
  <c r="AD321" i="2"/>
  <c r="AD331" i="2"/>
  <c r="AF337" i="2"/>
  <c r="AD347" i="2"/>
  <c r="AH349" i="2"/>
  <c r="AK349" i="2" s="1"/>
  <c r="AL349" i="2" s="1"/>
  <c r="AN349" i="2" s="1"/>
  <c r="AE349" i="2"/>
  <c r="AG355" i="2"/>
  <c r="AH362" i="2"/>
  <c r="AK362" i="2" s="1"/>
  <c r="AL362" i="2" s="1"/>
  <c r="AN362" i="2" s="1"/>
  <c r="AG362" i="2"/>
  <c r="AD362" i="2"/>
  <c r="AH369" i="2"/>
  <c r="AK369" i="2" s="1"/>
  <c r="AL369" i="2" s="1"/>
  <c r="AN369" i="2" s="1"/>
  <c r="U391" i="2"/>
  <c r="U394" i="2"/>
  <c r="AE401" i="2"/>
  <c r="AH410" i="2"/>
  <c r="AK410" i="2" s="1"/>
  <c r="AL410" i="2" s="1"/>
  <c r="AN410" i="2" s="1"/>
  <c r="AG410" i="2"/>
  <c r="AE410" i="2"/>
  <c r="AD410" i="2"/>
  <c r="AE417" i="2"/>
  <c r="AH450" i="2"/>
  <c r="U362" i="2"/>
  <c r="AE364" i="2"/>
  <c r="AH380" i="2"/>
  <c r="AK380" i="2" s="1"/>
  <c r="AL380" i="2" s="1"/>
  <c r="AN380" i="2" s="1"/>
  <c r="AG380" i="2"/>
  <c r="AF380" i="2"/>
  <c r="AD380" i="2"/>
  <c r="AH381" i="2"/>
  <c r="AK381" i="2" s="1"/>
  <c r="AL381" i="2" s="1"/>
  <c r="AN381" i="2" s="1"/>
  <c r="AH385" i="2"/>
  <c r="AG387" i="2"/>
  <c r="AD388" i="2"/>
  <c r="AF397" i="2"/>
  <c r="AD397" i="2"/>
  <c r="AG398" i="2"/>
  <c r="U407" i="2"/>
  <c r="U410" i="2"/>
  <c r="AG419" i="2"/>
  <c r="AF470" i="2"/>
  <c r="AD470" i="2"/>
  <c r="AE350" i="2"/>
  <c r="AH354" i="2"/>
  <c r="AK354" i="2" s="1"/>
  <c r="AL354" i="2" s="1"/>
  <c r="AN354" i="2" s="1"/>
  <c r="AF354" i="2"/>
  <c r="AG371" i="2"/>
  <c r="AF413" i="2"/>
  <c r="AD413" i="2"/>
  <c r="AF434" i="2"/>
  <c r="AE434" i="2"/>
  <c r="AD434" i="2"/>
  <c r="AH434" i="2"/>
  <c r="AG434" i="2"/>
  <c r="AE545" i="2"/>
  <c r="AD545" i="2"/>
  <c r="AD357" i="2"/>
  <c r="AG358" i="2"/>
  <c r="AG361" i="2"/>
  <c r="AF361" i="2"/>
  <c r="AE361" i="2"/>
  <c r="AH375" i="2"/>
  <c r="AK375" i="2" s="1"/>
  <c r="AL375" i="2" s="1"/>
  <c r="AN375" i="2" s="1"/>
  <c r="AD377" i="2"/>
  <c r="AF381" i="2"/>
  <c r="AH390" i="2"/>
  <c r="AK390" i="2" s="1"/>
  <c r="AL390" i="2" s="1"/>
  <c r="AN390" i="2" s="1"/>
  <c r="AE391" i="2"/>
  <c r="U434" i="2"/>
  <c r="V434" i="2" s="1"/>
  <c r="AG480" i="2"/>
  <c r="AH435" i="2"/>
  <c r="AH440" i="2"/>
  <c r="AD442" i="2"/>
  <c r="U446" i="2"/>
  <c r="AH483" i="2"/>
  <c r="AE521" i="2"/>
  <c r="AH521" i="2"/>
  <c r="AG521" i="2"/>
  <c r="AF521" i="2"/>
  <c r="AD521" i="2"/>
  <c r="AH545" i="2"/>
  <c r="AH360" i="2"/>
  <c r="AK360" i="2" s="1"/>
  <c r="AL360" i="2" s="1"/>
  <c r="AN360" i="2" s="1"/>
  <c r="AF370" i="2"/>
  <c r="AH376" i="2"/>
  <c r="AK376" i="2" s="1"/>
  <c r="AL376" i="2" s="1"/>
  <c r="AN376" i="2" s="1"/>
  <c r="AF386" i="2"/>
  <c r="AH392" i="2"/>
  <c r="AK392" i="2" s="1"/>
  <c r="AL392" i="2" s="1"/>
  <c r="AN392" i="2" s="1"/>
  <c r="AD396" i="2"/>
  <c r="AF402" i="2"/>
  <c r="AH408" i="2"/>
  <c r="AD412" i="2"/>
  <c r="AF418" i="2"/>
  <c r="AH421" i="2"/>
  <c r="AG426" i="2"/>
  <c r="AE426" i="2"/>
  <c r="AH427" i="2"/>
  <c r="AF439" i="2"/>
  <c r="AF442" i="2"/>
  <c r="AH445" i="2"/>
  <c r="AF445" i="2"/>
  <c r="AE445" i="2"/>
  <c r="AG453" i="2"/>
  <c r="AH462" i="2"/>
  <c r="AG462" i="2"/>
  <c r="AE462" i="2"/>
  <c r="AD462" i="2"/>
  <c r="U476" i="2"/>
  <c r="AH476" i="2"/>
  <c r="AG492" i="2"/>
  <c r="AD492" i="2"/>
  <c r="AF508" i="2"/>
  <c r="AD508" i="2"/>
  <c r="AH508" i="2"/>
  <c r="AG508" i="2"/>
  <c r="AE508" i="2"/>
  <c r="AD358" i="2"/>
  <c r="AD390" i="2"/>
  <c r="AF396" i="2"/>
  <c r="AD406" i="2"/>
  <c r="AF412" i="2"/>
  <c r="AF440" i="2"/>
  <c r="AE441" i="2"/>
  <c r="AH449" i="2"/>
  <c r="AE449" i="2"/>
  <c r="U449" i="2"/>
  <c r="V449" i="2" s="1"/>
  <c r="AH465" i="2"/>
  <c r="AF465" i="2"/>
  <c r="AE465" i="2"/>
  <c r="U465" i="2"/>
  <c r="V465" i="2" s="1"/>
  <c r="AH475" i="2"/>
  <c r="AG475" i="2"/>
  <c r="AF475" i="2"/>
  <c r="AD475" i="2"/>
  <c r="AF482" i="2"/>
  <c r="AE482" i="2"/>
  <c r="AD482" i="2"/>
  <c r="AE492" i="2"/>
  <c r="AH500" i="2"/>
  <c r="AG500" i="2"/>
  <c r="AF500" i="2"/>
  <c r="AE500" i="2"/>
  <c r="AD500" i="2"/>
  <c r="AE358" i="2"/>
  <c r="AD387" i="2"/>
  <c r="AG396" i="2"/>
  <c r="AD403" i="2"/>
  <c r="AG412" i="2"/>
  <c r="AD419" i="2"/>
  <c r="AH424" i="2"/>
  <c r="AG424" i="2"/>
  <c r="U427" i="2"/>
  <c r="AH429" i="2"/>
  <c r="AF429" i="2"/>
  <c r="AH433" i="2"/>
  <c r="AE433" i="2"/>
  <c r="U433" i="2"/>
  <c r="AG441" i="2"/>
  <c r="AG450" i="2"/>
  <c r="AH469" i="2"/>
  <c r="AD476" i="2"/>
  <c r="AF486" i="2"/>
  <c r="AH542" i="2"/>
  <c r="AG542" i="2"/>
  <c r="AF542" i="2"/>
  <c r="AE542" i="2"/>
  <c r="AD542" i="2"/>
  <c r="U542" i="2"/>
  <c r="V542" i="2" s="1"/>
  <c r="AG575" i="2"/>
  <c r="AF575" i="2"/>
  <c r="AE575" i="2"/>
  <c r="AD575" i="2"/>
  <c r="AH575" i="2"/>
  <c r="AE419" i="2"/>
  <c r="AG432" i="2"/>
  <c r="AH438" i="2"/>
  <c r="AK438" i="2" s="1"/>
  <c r="AL438" i="2" s="1"/>
  <c r="AN438" i="2" s="1"/>
  <c r="AH441" i="2"/>
  <c r="U444" i="2"/>
  <c r="AH444" i="2"/>
  <c r="AG456" i="2"/>
  <c r="AH461" i="2"/>
  <c r="AF461" i="2"/>
  <c r="AE461" i="2"/>
  <c r="AG471" i="2"/>
  <c r="V482" i="2"/>
  <c r="W482" i="2" s="1"/>
  <c r="X482" i="2" s="1"/>
  <c r="AG485" i="2"/>
  <c r="AE416" i="2"/>
  <c r="AF419" i="2"/>
  <c r="AE431" i="2"/>
  <c r="AD431" i="2"/>
  <c r="AH431" i="2"/>
  <c r="AK431" i="2" s="1"/>
  <c r="AL431" i="2" s="1"/>
  <c r="AN431" i="2" s="1"/>
  <c r="AH443" i="2"/>
  <c r="AG443" i="2"/>
  <c r="AF443" i="2"/>
  <c r="AG448" i="2"/>
  <c r="AF448" i="2"/>
  <c r="AD448" i="2"/>
  <c r="AE365" i="2"/>
  <c r="AE381" i="2"/>
  <c r="AE397" i="2"/>
  <c r="AE413" i="2"/>
  <c r="AE424" i="2"/>
  <c r="U431" i="2"/>
  <c r="U448" i="2"/>
  <c r="AG464" i="2"/>
  <c r="AF476" i="2"/>
  <c r="AG437" i="2"/>
  <c r="AF437" i="2"/>
  <c r="AE437" i="2"/>
  <c r="AD437" i="2"/>
  <c r="AE438" i="2"/>
  <c r="AH474" i="2"/>
  <c r="AH478" i="2"/>
  <c r="AG478" i="2"/>
  <c r="AE478" i="2"/>
  <c r="AD478" i="2"/>
  <c r="AF491" i="2"/>
  <c r="AE491" i="2"/>
  <c r="AD491" i="2"/>
  <c r="AG491" i="2"/>
  <c r="AD502" i="2"/>
  <c r="AG502" i="2"/>
  <c r="AF502" i="2"/>
  <c r="AH502" i="2"/>
  <c r="AE502" i="2"/>
  <c r="AD428" i="2"/>
  <c r="AG428" i="2"/>
  <c r="U460" i="2"/>
  <c r="AH460" i="2"/>
  <c r="U478" i="2"/>
  <c r="AD481" i="2"/>
  <c r="U502" i="2"/>
  <c r="AD353" i="2"/>
  <c r="AD369" i="2"/>
  <c r="AF375" i="2"/>
  <c r="AD385" i="2"/>
  <c r="AF391" i="2"/>
  <c r="AD401" i="2"/>
  <c r="AF407" i="2"/>
  <c r="AD417" i="2"/>
  <c r="AG425" i="2"/>
  <c r="AH426" i="2"/>
  <c r="AE427" i="2"/>
  <c r="AD438" i="2"/>
  <c r="AH439" i="2"/>
  <c r="AK439" i="2" s="1"/>
  <c r="AL439" i="2" s="1"/>
  <c r="AN439" i="2" s="1"/>
  <c r="AH442" i="2"/>
  <c r="AH451" i="2"/>
  <c r="AH459" i="2"/>
  <c r="AG459" i="2"/>
  <c r="AF459" i="2"/>
  <c r="AH470" i="2"/>
  <c r="AH481" i="2"/>
  <c r="AF481" i="2"/>
  <c r="AE481" i="2"/>
  <c r="U481" i="2"/>
  <c r="V481" i="2" s="1"/>
  <c r="AH491" i="2"/>
  <c r="AG375" i="2"/>
  <c r="AG391" i="2"/>
  <c r="AG407" i="2"/>
  <c r="AH425" i="2"/>
  <c r="AE428" i="2"/>
  <c r="AD429" i="2"/>
  <c r="AF438" i="2"/>
  <c r="AH485" i="2"/>
  <c r="AG487" i="2"/>
  <c r="AH494" i="2"/>
  <c r="AH539" i="2"/>
  <c r="U539" i="2"/>
  <c r="AG593" i="2"/>
  <c r="AF593" i="2"/>
  <c r="AE593" i="2"/>
  <c r="AD363" i="2"/>
  <c r="AF369" i="2"/>
  <c r="AD379" i="2"/>
  <c r="AF385" i="2"/>
  <c r="AD395" i="2"/>
  <c r="AF401" i="2"/>
  <c r="AD411" i="2"/>
  <c r="AF417" i="2"/>
  <c r="AF423" i="2"/>
  <c r="AG427" i="2"/>
  <c r="AF428" i="2"/>
  <c r="AE429" i="2"/>
  <c r="AD430" i="2"/>
  <c r="AE432" i="2"/>
  <c r="AG433" i="2"/>
  <c r="AF444" i="2"/>
  <c r="AE448" i="2"/>
  <c r="AD461" i="2"/>
  <c r="AF466" i="2"/>
  <c r="AE466" i="2"/>
  <c r="AD466" i="2"/>
  <c r="AE471" i="2"/>
  <c r="U473" i="2"/>
  <c r="AG473" i="2"/>
  <c r="AF473" i="2"/>
  <c r="AH477" i="2"/>
  <c r="AF477" i="2"/>
  <c r="AE477" i="2"/>
  <c r="AH428" i="2"/>
  <c r="AG429" i="2"/>
  <c r="AF432" i="2"/>
  <c r="AD443" i="2"/>
  <c r="AH448" i="2"/>
  <c r="AF450" i="2"/>
  <c r="AE450" i="2"/>
  <c r="AD450" i="2"/>
  <c r="AE451" i="2"/>
  <c r="U459" i="2"/>
  <c r="V459" i="2" s="1"/>
  <c r="AD460" i="2"/>
  <c r="AG461" i="2"/>
  <c r="AF467" i="2"/>
  <c r="AE470" i="2"/>
  <c r="AD435" i="2"/>
  <c r="AG444" i="2"/>
  <c r="AH447" i="2"/>
  <c r="AD451" i="2"/>
  <c r="AG460" i="2"/>
  <c r="AH463" i="2"/>
  <c r="AD467" i="2"/>
  <c r="AH479" i="2"/>
  <c r="AD483" i="2"/>
  <c r="AD487" i="2"/>
  <c r="U508" i="2"/>
  <c r="V508" i="2" s="1"/>
  <c r="AE528" i="2"/>
  <c r="AE529" i="2"/>
  <c r="AD529" i="2"/>
  <c r="AD464" i="2"/>
  <c r="AD480" i="2"/>
  <c r="AE487" i="2"/>
  <c r="AE513" i="2"/>
  <c r="AD513" i="2"/>
  <c r="AH516" i="2"/>
  <c r="AG516" i="2"/>
  <c r="AF516" i="2"/>
  <c r="AE516" i="2"/>
  <c r="AE633" i="2"/>
  <c r="AG633" i="2"/>
  <c r="AH633" i="2"/>
  <c r="AD633" i="2"/>
  <c r="AG451" i="2"/>
  <c r="AD458" i="2"/>
  <c r="AF464" i="2"/>
  <c r="AG467" i="2"/>
  <c r="U472" i="2"/>
  <c r="AD474" i="2"/>
  <c r="AF480" i="2"/>
  <c r="AG483" i="2"/>
  <c r="AE488" i="2"/>
  <c r="AD489" i="2"/>
  <c r="U500" i="2"/>
  <c r="AE503" i="2"/>
  <c r="AG511" i="2"/>
  <c r="AE511" i="2"/>
  <c r="U521" i="2"/>
  <c r="V521" i="2" s="1"/>
  <c r="AG539" i="2"/>
  <c r="AH568" i="2"/>
  <c r="AG568" i="2"/>
  <c r="AE568" i="2"/>
  <c r="AF568" i="2"/>
  <c r="AD568" i="2"/>
  <c r="U568" i="2"/>
  <c r="AD439" i="2"/>
  <c r="AE442" i="2"/>
  <c r="AD455" i="2"/>
  <c r="AE458" i="2"/>
  <c r="AD471" i="2"/>
  <c r="AE474" i="2"/>
  <c r="AF488" i="2"/>
  <c r="U499" i="2"/>
  <c r="AF499" i="2"/>
  <c r="AE499" i="2"/>
  <c r="U511" i="2"/>
  <c r="V511" i="2" s="1"/>
  <c r="AH520" i="2"/>
  <c r="AF520" i="2"/>
  <c r="AE520" i="2"/>
  <c r="AD520" i="2"/>
  <c r="AD534" i="2"/>
  <c r="AD541" i="2"/>
  <c r="AH566" i="2"/>
  <c r="AE566" i="2"/>
  <c r="AD566" i="2"/>
  <c r="U566" i="2"/>
  <c r="AE537" i="2"/>
  <c r="AH537" i="2"/>
  <c r="AG537" i="2"/>
  <c r="AH572" i="2"/>
  <c r="AF572" i="2"/>
  <c r="AD572" i="2"/>
  <c r="AG572" i="2"/>
  <c r="AE572" i="2"/>
  <c r="U624" i="2"/>
  <c r="AE624" i="2"/>
  <c r="AD624" i="2"/>
  <c r="AG442" i="2"/>
  <c r="AF455" i="2"/>
  <c r="AG458" i="2"/>
  <c r="AF471" i="2"/>
  <c r="AG474" i="2"/>
  <c r="AD486" i="2"/>
  <c r="AE496" i="2"/>
  <c r="AH497" i="2"/>
  <c r="AF498" i="2"/>
  <c r="AD498" i="2"/>
  <c r="AG527" i="2"/>
  <c r="AD531" i="2"/>
  <c r="U537" i="2"/>
  <c r="V537" i="2" s="1"/>
  <c r="AH548" i="2"/>
  <c r="AE555" i="2"/>
  <c r="U572" i="2"/>
  <c r="AG495" i="2"/>
  <c r="AE495" i="2"/>
  <c r="AD516" i="2"/>
  <c r="AH519" i="2"/>
  <c r="AF524" i="2"/>
  <c r="AD524" i="2"/>
  <c r="AH524" i="2"/>
  <c r="AH525" i="2"/>
  <c r="AE525" i="2"/>
  <c r="AE505" i="2"/>
  <c r="AH505" i="2"/>
  <c r="AG505" i="2"/>
  <c r="AH510" i="2"/>
  <c r="AG510" i="2"/>
  <c r="AF510" i="2"/>
  <c r="AE510" i="2"/>
  <c r="AD510" i="2"/>
  <c r="U510" i="2"/>
  <c r="AH514" i="2"/>
  <c r="AG519" i="2"/>
  <c r="AF519" i="2"/>
  <c r="AG543" i="2"/>
  <c r="AG552" i="2"/>
  <c r="AE552" i="2"/>
  <c r="AH552" i="2"/>
  <c r="AF552" i="2"/>
  <c r="AD552" i="2"/>
  <c r="U552" i="2"/>
  <c r="AH487" i="2"/>
  <c r="AH504" i="2"/>
  <c r="AF504" i="2"/>
  <c r="AE504" i="2"/>
  <c r="AD504" i="2"/>
  <c r="AF514" i="2"/>
  <c r="AD514" i="2"/>
  <c r="AF540" i="2"/>
  <c r="AD540" i="2"/>
  <c r="AH540" i="2"/>
  <c r="AH541" i="2"/>
  <c r="AE541" i="2"/>
  <c r="AE440" i="2"/>
  <c r="AD453" i="2"/>
  <c r="AE456" i="2"/>
  <c r="AD469" i="2"/>
  <c r="AD485" i="2"/>
  <c r="AD488" i="2"/>
  <c r="AG494" i="2"/>
  <c r="AF494" i="2"/>
  <c r="AE494" i="2"/>
  <c r="U494" i="2"/>
  <c r="AD499" i="2"/>
  <c r="U519" i="2"/>
  <c r="AH536" i="2"/>
  <c r="AG536" i="2"/>
  <c r="AF536" i="2"/>
  <c r="AE536" i="2"/>
  <c r="AD536" i="2"/>
  <c r="U536" i="2"/>
  <c r="AD537" i="2"/>
  <c r="U540" i="2"/>
  <c r="AG544" i="2"/>
  <c r="AF584" i="2"/>
  <c r="AE453" i="2"/>
  <c r="AF456" i="2"/>
  <c r="AE469" i="2"/>
  <c r="AF472" i="2"/>
  <c r="AE485" i="2"/>
  <c r="AF492" i="2"/>
  <c r="AH492" i="2"/>
  <c r="AH503" i="2"/>
  <c r="U514" i="2"/>
  <c r="V514" i="2" s="1"/>
  <c r="AD515" i="2"/>
  <c r="AF527" i="2"/>
  <c r="AF537" i="2"/>
  <c r="AF541" i="2"/>
  <c r="AH569" i="2"/>
  <c r="AG569" i="2"/>
  <c r="AF569" i="2"/>
  <c r="AE569" i="2"/>
  <c r="AD569" i="2"/>
  <c r="U569" i="2"/>
  <c r="V569" i="2" s="1"/>
  <c r="AF595" i="2"/>
  <c r="AE595" i="2"/>
  <c r="AH595" i="2"/>
  <c r="AG595" i="2"/>
  <c r="AD595" i="2"/>
  <c r="AG440" i="2"/>
  <c r="AD447" i="2"/>
  <c r="AF453" i="2"/>
  <c r="AD463" i="2"/>
  <c r="AF469" i="2"/>
  <c r="AD479" i="2"/>
  <c r="AF485" i="2"/>
  <c r="AE489" i="2"/>
  <c r="AH489" i="2"/>
  <c r="AG489" i="2"/>
  <c r="AH499" i="2"/>
  <c r="AG503" i="2"/>
  <c r="U504" i="2"/>
  <c r="AH513" i="2"/>
  <c r="AG515" i="2"/>
  <c r="AG520" i="2"/>
  <c r="AE524" i="2"/>
  <c r="AH527" i="2"/>
  <c r="AH529" i="2"/>
  <c r="AG541" i="2"/>
  <c r="U595" i="2"/>
  <c r="U488" i="2"/>
  <c r="AD505" i="2"/>
  <c r="AH523" i="2"/>
  <c r="U523" i="2"/>
  <c r="AG524" i="2"/>
  <c r="AH526" i="2"/>
  <c r="AG526" i="2"/>
  <c r="AF526" i="2"/>
  <c r="AE526" i="2"/>
  <c r="AD526" i="2"/>
  <c r="U526" i="2"/>
  <c r="AF543" i="2"/>
  <c r="AD573" i="2"/>
  <c r="AH573" i="2"/>
  <c r="AG573" i="2"/>
  <c r="AF573" i="2"/>
  <c r="AE573" i="2"/>
  <c r="AD512" i="2"/>
  <c r="AE515" i="2"/>
  <c r="AF518" i="2"/>
  <c r="AD528" i="2"/>
  <c r="AE531" i="2"/>
  <c r="AF534" i="2"/>
  <c r="AD544" i="2"/>
  <c r="AE548" i="2"/>
  <c r="AF549" i="2"/>
  <c r="U551" i="2"/>
  <c r="V551" i="2" s="1"/>
  <c r="AG554" i="2"/>
  <c r="AD555" i="2"/>
  <c r="AD558" i="2"/>
  <c r="AF559" i="2"/>
  <c r="AG561" i="2"/>
  <c r="AH562" i="2"/>
  <c r="U575" i="2"/>
  <c r="AD582" i="2"/>
  <c r="U582" i="2"/>
  <c r="V582" i="2" s="1"/>
  <c r="AH600" i="2"/>
  <c r="AF515" i="2"/>
  <c r="AG518" i="2"/>
  <c r="AF531" i="2"/>
  <c r="AG534" i="2"/>
  <c r="AG553" i="2"/>
  <c r="AH554" i="2"/>
  <c r="AG559" i="2"/>
  <c r="AH587" i="2"/>
  <c r="AH614" i="2"/>
  <c r="AE614" i="2"/>
  <c r="AG614" i="2"/>
  <c r="AF614" i="2"/>
  <c r="AD614" i="2"/>
  <c r="U614" i="2"/>
  <c r="AF661" i="2"/>
  <c r="AD661" i="2"/>
  <c r="AG741" i="2"/>
  <c r="AE741" i="2"/>
  <c r="AF566" i="2"/>
  <c r="U587" i="2"/>
  <c r="AG587" i="2"/>
  <c r="AE587" i="2"/>
  <c r="AG591" i="2"/>
  <c r="AF591" i="2"/>
  <c r="AE591" i="2"/>
  <c r="AD591" i="2"/>
  <c r="AH597" i="2"/>
  <c r="AG597" i="2"/>
  <c r="AF597" i="2"/>
  <c r="AE597" i="2"/>
  <c r="AD597" i="2"/>
  <c r="U616" i="2"/>
  <c r="V616" i="2" s="1"/>
  <c r="AF616" i="2"/>
  <c r="AG616" i="2"/>
  <c r="AE616" i="2"/>
  <c r="AD616" i="2"/>
  <c r="AF631" i="2"/>
  <c r="AH631" i="2"/>
  <c r="AE532" i="2"/>
  <c r="AF535" i="2"/>
  <c r="AE547" i="2"/>
  <c r="AH550" i="2"/>
  <c r="AD551" i="2"/>
  <c r="U567" i="2"/>
  <c r="U570" i="2"/>
  <c r="AG570" i="2"/>
  <c r="U573" i="2"/>
  <c r="V573" i="2" s="1"/>
  <c r="U586" i="2"/>
  <c r="AG586" i="2"/>
  <c r="AH596" i="2"/>
  <c r="AE596" i="2"/>
  <c r="AH658" i="2"/>
  <c r="AG658" i="2"/>
  <c r="AF658" i="2"/>
  <c r="AE658" i="2"/>
  <c r="AD658" i="2"/>
  <c r="AF532" i="2"/>
  <c r="AE551" i="2"/>
  <c r="AF563" i="2"/>
  <c r="AE563" i="2"/>
  <c r="AH585" i="2"/>
  <c r="AG585" i="2"/>
  <c r="AE585" i="2"/>
  <c r="AD585" i="2"/>
  <c r="AG600" i="2"/>
  <c r="AF600" i="2"/>
  <c r="AE600" i="2"/>
  <c r="AD600" i="2"/>
  <c r="U625" i="2"/>
  <c r="AH625" i="2"/>
  <c r="AG625" i="2"/>
  <c r="AF625" i="2"/>
  <c r="AD625" i="2"/>
  <c r="U645" i="2"/>
  <c r="V645" i="2" s="1"/>
  <c r="AF645" i="2"/>
  <c r="U658" i="2"/>
  <c r="AF497" i="2"/>
  <c r="AD507" i="2"/>
  <c r="AF513" i="2"/>
  <c r="AD523" i="2"/>
  <c r="AF529" i="2"/>
  <c r="AG532" i="2"/>
  <c r="AD539" i="2"/>
  <c r="AF545" i="2"/>
  <c r="AF551" i="2"/>
  <c r="U554" i="2"/>
  <c r="AE560" i="2"/>
  <c r="AD560" i="2"/>
  <c r="AH561" i="2"/>
  <c r="U563" i="2"/>
  <c r="AG566" i="2"/>
  <c r="AF579" i="2"/>
  <c r="AE579" i="2"/>
  <c r="AD596" i="2"/>
  <c r="AD632" i="2"/>
  <c r="AG497" i="2"/>
  <c r="AE507" i="2"/>
  <c r="AG513" i="2"/>
  <c r="AE523" i="2"/>
  <c r="AG529" i="2"/>
  <c r="AE539" i="2"/>
  <c r="AG545" i="2"/>
  <c r="AG551" i="2"/>
  <c r="AH555" i="2"/>
  <c r="AF555" i="2"/>
  <c r="AE559" i="2"/>
  <c r="AD559" i="2"/>
  <c r="U579" i="2"/>
  <c r="AH581" i="2"/>
  <c r="AG581" i="2"/>
  <c r="AF581" i="2"/>
  <c r="AD581" i="2"/>
  <c r="AF596" i="2"/>
  <c r="AF598" i="2"/>
  <c r="AG602" i="2"/>
  <c r="AF605" i="2"/>
  <c r="AG605" i="2"/>
  <c r="AE605" i="2"/>
  <c r="AD605" i="2"/>
  <c r="U605" i="2"/>
  <c r="V605" i="2" s="1"/>
  <c r="AF617" i="2"/>
  <c r="AG713" i="2"/>
  <c r="AE713" i="2"/>
  <c r="AF507" i="2"/>
  <c r="AF523" i="2"/>
  <c r="AF539" i="2"/>
  <c r="AD549" i="2"/>
  <c r="AD553" i="2"/>
  <c r="AH556" i="2"/>
  <c r="AD556" i="2"/>
  <c r="AG558" i="2"/>
  <c r="AE564" i="2"/>
  <c r="AG565" i="2"/>
  <c r="AF565" i="2"/>
  <c r="AF578" i="2"/>
  <c r="AH584" i="2"/>
  <c r="AG584" i="2"/>
  <c r="AE584" i="2"/>
  <c r="AD584" i="2"/>
  <c r="U585" i="2"/>
  <c r="AD587" i="2"/>
  <c r="AH591" i="2"/>
  <c r="U594" i="2"/>
  <c r="AG596" i="2"/>
  <c r="AD598" i="2"/>
  <c r="U598" i="2"/>
  <c r="V598" i="2" s="1"/>
  <c r="AD617" i="2"/>
  <c r="U617" i="2"/>
  <c r="AD622" i="2"/>
  <c r="AH622" i="2"/>
  <c r="AG622" i="2"/>
  <c r="AF622" i="2"/>
  <c r="AE622" i="2"/>
  <c r="U622" i="2"/>
  <c r="AD530" i="2"/>
  <c r="AD546" i="2"/>
  <c r="AE553" i="2"/>
  <c r="AD557" i="2"/>
  <c r="U557" i="2"/>
  <c r="V557" i="2" s="1"/>
  <c r="AH557" i="2"/>
  <c r="AD567" i="2"/>
  <c r="AH580" i="2"/>
  <c r="AE580" i="2"/>
  <c r="AD586" i="2"/>
  <c r="AH593" i="2"/>
  <c r="AF601" i="2"/>
  <c r="AH601" i="2"/>
  <c r="AG601" i="2"/>
  <c r="AE601" i="2"/>
  <c r="AD601" i="2"/>
  <c r="AH615" i="2"/>
  <c r="AF615" i="2"/>
  <c r="U615" i="2"/>
  <c r="AD645" i="2"/>
  <c r="AD527" i="2"/>
  <c r="AE530" i="2"/>
  <c r="AD543" i="2"/>
  <c r="AE546" i="2"/>
  <c r="AF553" i="2"/>
  <c r="AE567" i="2"/>
  <c r="AE527" i="2"/>
  <c r="AE543" i="2"/>
  <c r="AD563" i="2"/>
  <c r="AG567" i="2"/>
  <c r="AD570" i="2"/>
  <c r="AE576" i="2"/>
  <c r="AD576" i="2"/>
  <c r="U583" i="2"/>
  <c r="AF583" i="2"/>
  <c r="AF586" i="2"/>
  <c r="AH590" i="2"/>
  <c r="AF590" i="2"/>
  <c r="AH594" i="2"/>
  <c r="AG703" i="2"/>
  <c r="AE703" i="2"/>
  <c r="AH588" i="2"/>
  <c r="AF588" i="2"/>
  <c r="AE588" i="2"/>
  <c r="AD588" i="2"/>
  <c r="AF547" i="2"/>
  <c r="AF560" i="2"/>
  <c r="AH563" i="2"/>
  <c r="AH564" i="2"/>
  <c r="AF570" i="2"/>
  <c r="AE571" i="2"/>
  <c r="AG579" i="2"/>
  <c r="AG580" i="2"/>
  <c r="AD590" i="2"/>
  <c r="AE592" i="2"/>
  <c r="AD592" i="2"/>
  <c r="U592" i="2"/>
  <c r="AH598" i="2"/>
  <c r="AH626" i="2"/>
  <c r="AF626" i="2"/>
  <c r="AD626" i="2"/>
  <c r="AG626" i="2"/>
  <c r="AE626" i="2"/>
  <c r="AF627" i="2"/>
  <c r="AG631" i="2"/>
  <c r="AF644" i="2"/>
  <c r="AE644" i="2"/>
  <c r="AD644" i="2"/>
  <c r="U644" i="2"/>
  <c r="V644" i="2" s="1"/>
  <c r="AH644" i="2"/>
  <c r="AG644" i="2"/>
  <c r="AG696" i="2"/>
  <c r="AE696" i="2"/>
  <c r="AD696" i="2"/>
  <c r="AH696" i="2"/>
  <c r="AF696" i="2"/>
  <c r="AD561" i="2"/>
  <c r="AD577" i="2"/>
  <c r="AH589" i="2"/>
  <c r="AD593" i="2"/>
  <c r="AF599" i="2"/>
  <c r="AH602" i="2"/>
  <c r="AE602" i="2"/>
  <c r="AG609" i="2"/>
  <c r="AG615" i="2"/>
  <c r="AH616" i="2"/>
  <c r="AH624" i="2"/>
  <c r="AG624" i="2"/>
  <c r="AF624" i="2"/>
  <c r="AH673" i="2"/>
  <c r="AK673" i="2" s="1"/>
  <c r="AL673" i="2" s="1"/>
  <c r="AN673" i="2" s="1"/>
  <c r="AG673" i="2"/>
  <c r="AF673" i="2"/>
  <c r="AE673" i="2"/>
  <c r="AD673" i="2"/>
  <c r="AF703" i="2"/>
  <c r="AF612" i="2"/>
  <c r="AD612" i="2"/>
  <c r="AG613" i="2"/>
  <c r="AE613" i="2"/>
  <c r="AE617" i="2"/>
  <c r="AG621" i="2"/>
  <c r="AF621" i="2"/>
  <c r="AE621" i="2"/>
  <c r="AH640" i="2"/>
  <c r="AG640" i="2"/>
  <c r="AF640" i="2"/>
  <c r="AD640" i="2"/>
  <c r="AF571" i="2"/>
  <c r="AF587" i="2"/>
  <c r="AD606" i="2"/>
  <c r="U613" i="2"/>
  <c r="V613" i="2" s="1"/>
  <c r="AG629" i="2"/>
  <c r="AE629" i="2"/>
  <c r="U640" i="2"/>
  <c r="V640" i="2" s="1"/>
  <c r="AG647" i="2"/>
  <c r="AD648" i="2"/>
  <c r="AH650" i="2"/>
  <c r="AG650" i="2"/>
  <c r="AF650" i="2"/>
  <c r="AE650" i="2"/>
  <c r="AD650" i="2"/>
  <c r="AH634" i="2"/>
  <c r="AG634" i="2"/>
  <c r="AF634" i="2"/>
  <c r="AE634" i="2"/>
  <c r="AD634" i="2"/>
  <c r="AE648" i="2"/>
  <c r="AE562" i="2"/>
  <c r="AE578" i="2"/>
  <c r="U589" i="2"/>
  <c r="V589" i="2" s="1"/>
  <c r="AE594" i="2"/>
  <c r="AH607" i="2"/>
  <c r="AE607" i="2"/>
  <c r="AE609" i="2"/>
  <c r="AF610" i="2"/>
  <c r="AD610" i="2"/>
  <c r="U612" i="2"/>
  <c r="AG617" i="2"/>
  <c r="AD620" i="2"/>
  <c r="U621" i="2"/>
  <c r="V621" i="2" s="1"/>
  <c r="U634" i="2"/>
  <c r="AE636" i="2"/>
  <c r="AH639" i="2"/>
  <c r="AH756" i="2"/>
  <c r="AF756" i="2"/>
  <c r="AE756" i="2"/>
  <c r="AD756" i="2"/>
  <c r="AG756" i="2"/>
  <c r="U756" i="2"/>
  <c r="V756" i="2" s="1"/>
  <c r="AD602" i="2"/>
  <c r="AH608" i="2"/>
  <c r="AG608" i="2"/>
  <c r="AH617" i="2"/>
  <c r="AF628" i="2"/>
  <c r="AE628" i="2"/>
  <c r="AD628" i="2"/>
  <c r="U628" i="2"/>
  <c r="AF633" i="2"/>
  <c r="AF647" i="2"/>
  <c r="AH653" i="2"/>
  <c r="AG653" i="2"/>
  <c r="AF653" i="2"/>
  <c r="AE653" i="2"/>
  <c r="AD659" i="2"/>
  <c r="AG578" i="2"/>
  <c r="AG594" i="2"/>
  <c r="AF602" i="2"/>
  <c r="AG604" i="2"/>
  <c r="AD604" i="2"/>
  <c r="AH656" i="2"/>
  <c r="AG656" i="2"/>
  <c r="AF656" i="2"/>
  <c r="AD656" i="2"/>
  <c r="AG659" i="2"/>
  <c r="AE659" i="2"/>
  <c r="U659" i="2"/>
  <c r="AD613" i="2"/>
  <c r="AD629" i="2"/>
  <c r="AD638" i="2"/>
  <c r="U638" i="2"/>
  <c r="AH638" i="2"/>
  <c r="AE640" i="2"/>
  <c r="U656" i="2"/>
  <c r="V656" i="2" s="1"/>
  <c r="AH668" i="2"/>
  <c r="AK668" i="2" s="1"/>
  <c r="AL668" i="2" s="1"/>
  <c r="AN668" i="2" s="1"/>
  <c r="AG668" i="2"/>
  <c r="AF668" i="2"/>
  <c r="AE668" i="2"/>
  <c r="AD674" i="2"/>
  <c r="U724" i="2"/>
  <c r="V724" i="2" s="1"/>
  <c r="AH724" i="2"/>
  <c r="AG724" i="2"/>
  <c r="AF724" i="2"/>
  <c r="AH611" i="2"/>
  <c r="AG611" i="2"/>
  <c r="AD611" i="2"/>
  <c r="AH627" i="2"/>
  <c r="AH661" i="2"/>
  <c r="AG664" i="2"/>
  <c r="AE664" i="2"/>
  <c r="AH671" i="2"/>
  <c r="AK671" i="2" s="1"/>
  <c r="AL671" i="2" s="1"/>
  <c r="AN671" i="2" s="1"/>
  <c r="AG671" i="2"/>
  <c r="AF671" i="2"/>
  <c r="AD671" i="2"/>
  <c r="AG674" i="2"/>
  <c r="AE674" i="2"/>
  <c r="U674" i="2"/>
  <c r="AH688" i="2"/>
  <c r="AK688" i="2" s="1"/>
  <c r="AL688" i="2" s="1"/>
  <c r="AN688" i="2" s="1"/>
  <c r="AG688" i="2"/>
  <c r="AF688" i="2"/>
  <c r="AE688" i="2"/>
  <c r="AD688" i="2"/>
  <c r="U688" i="2"/>
  <c r="V688" i="2" s="1"/>
  <c r="AF604" i="2"/>
  <c r="AE612" i="2"/>
  <c r="AH613" i="2"/>
  <c r="AH621" i="2"/>
  <c r="AH629" i="2"/>
  <c r="AH632" i="2"/>
  <c r="AH637" i="2"/>
  <c r="AG637" i="2"/>
  <c r="AF637" i="2"/>
  <c r="AE637" i="2"/>
  <c r="AH642" i="2"/>
  <c r="AG642" i="2"/>
  <c r="AF642" i="2"/>
  <c r="AD642" i="2"/>
  <c r="AD664" i="2"/>
  <c r="U671" i="2"/>
  <c r="AD705" i="2"/>
  <c r="AH705" i="2"/>
  <c r="AG705" i="2"/>
  <c r="AF705" i="2"/>
  <c r="AE705" i="2"/>
  <c r="AH604" i="2"/>
  <c r="AE611" i="2"/>
  <c r="AG612" i="2"/>
  <c r="AH618" i="2"/>
  <c r="AF618" i="2"/>
  <c r="AE618" i="2"/>
  <c r="AD618" i="2"/>
  <c r="AG620" i="2"/>
  <c r="U632" i="2"/>
  <c r="AF632" i="2"/>
  <c r="AF659" i="2"/>
  <c r="AH674" i="2"/>
  <c r="AK674" i="2" s="1"/>
  <c r="AL674" i="2" s="1"/>
  <c r="AN674" i="2" s="1"/>
  <c r="AF711" i="2"/>
  <c r="AE711" i="2"/>
  <c r="AD711" i="2"/>
  <c r="AH711" i="2"/>
  <c r="AG711" i="2"/>
  <c r="AG728" i="2"/>
  <c r="AF728" i="2"/>
  <c r="AE728" i="2"/>
  <c r="AD728" i="2"/>
  <c r="AH728" i="2"/>
  <c r="AK728" i="2" s="1"/>
  <c r="AL728" i="2" s="1"/>
  <c r="AN728" i="2" s="1"/>
  <c r="U705" i="2"/>
  <c r="U711" i="2"/>
  <c r="AG775" i="2"/>
  <c r="AF775" i="2"/>
  <c r="AD775" i="2"/>
  <c r="AH775" i="2"/>
  <c r="AE645" i="2"/>
  <c r="AF648" i="2"/>
  <c r="AH654" i="2"/>
  <c r="AE661" i="2"/>
  <c r="AF664" i="2"/>
  <c r="AH669" i="2"/>
  <c r="AK669" i="2" s="1"/>
  <c r="AL669" i="2" s="1"/>
  <c r="AN669" i="2" s="1"/>
  <c r="AH675" i="2"/>
  <c r="AK675" i="2" s="1"/>
  <c r="AL675" i="2" s="1"/>
  <c r="AN675" i="2" s="1"/>
  <c r="AD675" i="2"/>
  <c r="AG678" i="2"/>
  <c r="AF695" i="2"/>
  <c r="AE695" i="2"/>
  <c r="AD695" i="2"/>
  <c r="AG698" i="2"/>
  <c r="AE708" i="2"/>
  <c r="AH817" i="2"/>
  <c r="AF817" i="2"/>
  <c r="U817" i="2"/>
  <c r="AD655" i="2"/>
  <c r="AD670" i="2"/>
  <c r="U708" i="2"/>
  <c r="V708" i="2" s="1"/>
  <c r="AH708" i="2"/>
  <c r="AE709" i="2"/>
  <c r="AH798" i="2"/>
  <c r="AG798" i="2"/>
  <c r="AF798" i="2"/>
  <c r="AE798" i="2"/>
  <c r="AD798" i="2"/>
  <c r="AG872" i="2"/>
  <c r="AE872" i="2"/>
  <c r="AD872" i="2"/>
  <c r="AE623" i="2"/>
  <c r="AD636" i="2"/>
  <c r="AE639" i="2"/>
  <c r="AG645" i="2"/>
  <c r="AH648" i="2"/>
  <c r="AD652" i="2"/>
  <c r="AE655" i="2"/>
  <c r="AG661" i="2"/>
  <c r="AH664" i="2"/>
  <c r="AD667" i="2"/>
  <c r="AE670" i="2"/>
  <c r="AE676" i="2"/>
  <c r="AH701" i="2"/>
  <c r="AH704" i="2"/>
  <c r="AK704" i="2" s="1"/>
  <c r="AL704" i="2" s="1"/>
  <c r="AN704" i="2" s="1"/>
  <c r="AG704" i="2"/>
  <c r="AF704" i="2"/>
  <c r="AE704" i="2"/>
  <c r="AD704" i="2"/>
  <c r="AD649" i="2"/>
  <c r="AF655" i="2"/>
  <c r="AD665" i="2"/>
  <c r="AF670" i="2"/>
  <c r="AH691" i="2"/>
  <c r="AK691" i="2" s="1"/>
  <c r="AL691" i="2" s="1"/>
  <c r="AN691" i="2" s="1"/>
  <c r="AG691" i="2"/>
  <c r="AF691" i="2"/>
  <c r="AD691" i="2"/>
  <c r="U698" i="2"/>
  <c r="AD701" i="2"/>
  <c r="AD630" i="2"/>
  <c r="AD646" i="2"/>
  <c r="AE649" i="2"/>
  <c r="U660" i="2"/>
  <c r="AD662" i="2"/>
  <c r="AE665" i="2"/>
  <c r="AF667" i="2"/>
  <c r="AD627" i="2"/>
  <c r="AE630" i="2"/>
  <c r="AD643" i="2"/>
  <c r="AE646" i="2"/>
  <c r="AE662" i="2"/>
  <c r="U676" i="2"/>
  <c r="V676" i="2" s="1"/>
  <c r="AH677" i="2"/>
  <c r="AK677" i="2" s="1"/>
  <c r="AL677" i="2" s="1"/>
  <c r="AN677" i="2" s="1"/>
  <c r="AH678" i="2"/>
  <c r="AK678" i="2" s="1"/>
  <c r="AL678" i="2" s="1"/>
  <c r="AN678" i="2" s="1"/>
  <c r="AF679" i="2"/>
  <c r="AE679" i="2"/>
  <c r="AD679" i="2"/>
  <c r="AG684" i="2"/>
  <c r="AF684" i="2"/>
  <c r="AF692" i="2"/>
  <c r="AF697" i="2"/>
  <c r="U704" i="2"/>
  <c r="V704" i="2" s="1"/>
  <c r="AH707" i="2"/>
  <c r="AG707" i="2"/>
  <c r="AF707" i="2"/>
  <c r="AE707" i="2"/>
  <c r="AD707" i="2"/>
  <c r="AF708" i="2"/>
  <c r="AH710" i="2"/>
  <c r="AH744" i="2"/>
  <c r="AG744" i="2"/>
  <c r="AF744" i="2"/>
  <c r="AE744" i="2"/>
  <c r="AD744" i="2"/>
  <c r="AH847" i="2"/>
  <c r="AG847" i="2"/>
  <c r="AF847" i="2"/>
  <c r="AE847" i="2"/>
  <c r="AD847" i="2"/>
  <c r="AG680" i="2"/>
  <c r="AE680" i="2"/>
  <c r="AH694" i="2"/>
  <c r="AK694" i="2" s="1"/>
  <c r="AL694" i="2" s="1"/>
  <c r="AN694" i="2" s="1"/>
  <c r="AG700" i="2"/>
  <c r="AG708" i="2"/>
  <c r="AH713" i="2"/>
  <c r="AH716" i="2"/>
  <c r="AG716" i="2"/>
  <c r="AF716" i="2"/>
  <c r="AE716" i="2"/>
  <c r="AD721" i="2"/>
  <c r="AH721" i="2"/>
  <c r="AG721" i="2"/>
  <c r="AE724" i="2"/>
  <c r="AH729" i="2"/>
  <c r="AK729" i="2" s="1"/>
  <c r="AL729" i="2" s="1"/>
  <c r="AN729" i="2" s="1"/>
  <c r="AG831" i="2"/>
  <c r="AF831" i="2"/>
  <c r="AE831" i="2"/>
  <c r="AH831" i="2"/>
  <c r="AD831" i="2"/>
  <c r="AG729" i="2"/>
  <c r="AE729" i="2"/>
  <c r="AH739" i="2"/>
  <c r="AG739" i="2"/>
  <c r="AF739" i="2"/>
  <c r="AE739" i="2"/>
  <c r="AD739" i="2"/>
  <c r="U831" i="2"/>
  <c r="V831" i="2" s="1"/>
  <c r="AG643" i="2"/>
  <c r="AD680" i="2"/>
  <c r="AH703" i="2"/>
  <c r="AK703" i="2" s="1"/>
  <c r="AL703" i="2" s="1"/>
  <c r="AN703" i="2" s="1"/>
  <c r="AD716" i="2"/>
  <c r="U739" i="2"/>
  <c r="AG757" i="2"/>
  <c r="AD757" i="2"/>
  <c r="AH757" i="2"/>
  <c r="AF757" i="2"/>
  <c r="AD615" i="2"/>
  <c r="AD631" i="2"/>
  <c r="AD647" i="2"/>
  <c r="AD663" i="2"/>
  <c r="AE675" i="2"/>
  <c r="AF680" i="2"/>
  <c r="AG710" i="2"/>
  <c r="AF710" i="2"/>
  <c r="AE710" i="2"/>
  <c r="AD710" i="2"/>
  <c r="AH726" i="2"/>
  <c r="AH736" i="2"/>
  <c r="AG736" i="2"/>
  <c r="AF736" i="2"/>
  <c r="AE736" i="2"/>
  <c r="AD736" i="2"/>
  <c r="U736" i="2"/>
  <c r="V736" i="2" s="1"/>
  <c r="AH741" i="2"/>
  <c r="AE615" i="2"/>
  <c r="AE631" i="2"/>
  <c r="AE647" i="2"/>
  <c r="AD660" i="2"/>
  <c r="AE663" i="2"/>
  <c r="AF675" i="2"/>
  <c r="AH680" i="2"/>
  <c r="AK680" i="2" s="1"/>
  <c r="AL680" i="2" s="1"/>
  <c r="AN680" i="2" s="1"/>
  <c r="AG682" i="2"/>
  <c r="AE691" i="2"/>
  <c r="AG694" i="2"/>
  <c r="AD694" i="2"/>
  <c r="AH697" i="2"/>
  <c r="AK697" i="2" s="1"/>
  <c r="AL697" i="2" s="1"/>
  <c r="AN697" i="2" s="1"/>
  <c r="AE660" i="2"/>
  <c r="AD689" i="2"/>
  <c r="AH689" i="2"/>
  <c r="AK689" i="2" s="1"/>
  <c r="AL689" i="2" s="1"/>
  <c r="AN689" i="2" s="1"/>
  <c r="AG689" i="2"/>
  <c r="AH693" i="2"/>
  <c r="AF693" i="2"/>
  <c r="AD693" i="2"/>
  <c r="AH709" i="2"/>
  <c r="AG712" i="2"/>
  <c r="AE712" i="2"/>
  <c r="AD712" i="2"/>
  <c r="AE721" i="2"/>
  <c r="AG676" i="2"/>
  <c r="AH685" i="2"/>
  <c r="AK685" i="2" s="1"/>
  <c r="AL685" i="2" s="1"/>
  <c r="AN685" i="2" s="1"/>
  <c r="U689" i="2"/>
  <c r="U693" i="2"/>
  <c r="AF694" i="2"/>
  <c r="AG697" i="2"/>
  <c r="AH720" i="2"/>
  <c r="AG720" i="2"/>
  <c r="AF720" i="2"/>
  <c r="AE720" i="2"/>
  <c r="AD720" i="2"/>
  <c r="U720" i="2"/>
  <c r="AF721" i="2"/>
  <c r="AH723" i="2"/>
  <c r="AG723" i="2"/>
  <c r="AF723" i="2"/>
  <c r="AE723" i="2"/>
  <c r="AD723" i="2"/>
  <c r="AG726" i="2"/>
  <c r="AF726" i="2"/>
  <c r="AD726" i="2"/>
  <c r="AH752" i="2"/>
  <c r="AG752" i="2"/>
  <c r="AF752" i="2"/>
  <c r="AE752" i="2"/>
  <c r="AD752" i="2"/>
  <c r="U752" i="2"/>
  <c r="AD769" i="2"/>
  <c r="U769" i="2"/>
  <c r="V769" i="2" s="1"/>
  <c r="AF769" i="2"/>
  <c r="AE683" i="2"/>
  <c r="AF686" i="2"/>
  <c r="AH692" i="2"/>
  <c r="AK692" i="2" s="1"/>
  <c r="AL692" i="2" s="1"/>
  <c r="AN692" i="2" s="1"/>
  <c r="AE699" i="2"/>
  <c r="AF702" i="2"/>
  <c r="AE715" i="2"/>
  <c r="AF718" i="2"/>
  <c r="AE731" i="2"/>
  <c r="AF734" i="2"/>
  <c r="AG737" i="2"/>
  <c r="AH740" i="2"/>
  <c r="AE747" i="2"/>
  <c r="AF750" i="2"/>
  <c r="AH754" i="2"/>
  <c r="AH774" i="2"/>
  <c r="AH795" i="2"/>
  <c r="AG795" i="2"/>
  <c r="AF795" i="2"/>
  <c r="AE795" i="2"/>
  <c r="AD795" i="2"/>
  <c r="U795" i="2"/>
  <c r="U798" i="2"/>
  <c r="AF683" i="2"/>
  <c r="AF699" i="2"/>
  <c r="AD709" i="2"/>
  <c r="AF715" i="2"/>
  <c r="AD725" i="2"/>
  <c r="AF731" i="2"/>
  <c r="AH737" i="2"/>
  <c r="AD741" i="2"/>
  <c r="AF747" i="2"/>
  <c r="AG769" i="2"/>
  <c r="AG817" i="2"/>
  <c r="AH683" i="2"/>
  <c r="AK683" i="2" s="1"/>
  <c r="AL683" i="2" s="1"/>
  <c r="AN683" i="2" s="1"/>
  <c r="AE690" i="2"/>
  <c r="AH699" i="2"/>
  <c r="AK699" i="2" s="1"/>
  <c r="AL699" i="2" s="1"/>
  <c r="AN699" i="2" s="1"/>
  <c r="U701" i="2"/>
  <c r="V701" i="2" s="1"/>
  <c r="AD703" i="2"/>
  <c r="AE706" i="2"/>
  <c r="AF709" i="2"/>
  <c r="AH715" i="2"/>
  <c r="U717" i="2"/>
  <c r="AD719" i="2"/>
  <c r="AE722" i="2"/>
  <c r="AF725" i="2"/>
  <c r="AH731" i="2"/>
  <c r="AD735" i="2"/>
  <c r="AE738" i="2"/>
  <c r="AF741" i="2"/>
  <c r="AH747" i="2"/>
  <c r="AD751" i="2"/>
  <c r="V759" i="2"/>
  <c r="W759" i="2" s="1"/>
  <c r="X759" i="2" s="1"/>
  <c r="AH768" i="2"/>
  <c r="AG768" i="2"/>
  <c r="AF768" i="2"/>
  <c r="AD768" i="2"/>
  <c r="AH779" i="2"/>
  <c r="AG779" i="2"/>
  <c r="AF779" i="2"/>
  <c r="AE779" i="2"/>
  <c r="AH785" i="2"/>
  <c r="AH814" i="2"/>
  <c r="AG814" i="2"/>
  <c r="AF814" i="2"/>
  <c r="AE814" i="2"/>
  <c r="AD814" i="2"/>
  <c r="AD748" i="2"/>
  <c r="AE751" i="2"/>
  <c r="AH753" i="2"/>
  <c r="AE753" i="2"/>
  <c r="AG759" i="2"/>
  <c r="AD759" i="2"/>
  <c r="AG785" i="2"/>
  <c r="AF785" i="2"/>
  <c r="AD785" i="2"/>
  <c r="U785" i="2"/>
  <c r="V785" i="2" s="1"/>
  <c r="AH811" i="2"/>
  <c r="AG811" i="2"/>
  <c r="AF811" i="2"/>
  <c r="AE811" i="2"/>
  <c r="AD811" i="2"/>
  <c r="U811" i="2"/>
  <c r="AD681" i="2"/>
  <c r="AF687" i="2"/>
  <c r="AD697" i="2"/>
  <c r="AE700" i="2"/>
  <c r="AD713" i="2"/>
  <c r="AF719" i="2"/>
  <c r="AD729" i="2"/>
  <c r="AE732" i="2"/>
  <c r="AF735" i="2"/>
  <c r="AD745" i="2"/>
  <c r="AE748" i="2"/>
  <c r="AF751" i="2"/>
  <c r="AD774" i="2"/>
  <c r="AH782" i="2"/>
  <c r="AG782" i="2"/>
  <c r="AF782" i="2"/>
  <c r="AE782" i="2"/>
  <c r="AD782" i="2"/>
  <c r="AE681" i="2"/>
  <c r="AF732" i="2"/>
  <c r="AD742" i="2"/>
  <c r="AE745" i="2"/>
  <c r="AF748" i="2"/>
  <c r="AH759" i="2"/>
  <c r="AE773" i="2"/>
  <c r="U779" i="2"/>
  <c r="V779" i="2" s="1"/>
  <c r="AH787" i="2"/>
  <c r="AH823" i="2"/>
  <c r="AG823" i="2"/>
  <c r="AD823" i="2"/>
  <c r="AD892" i="2"/>
  <c r="AH892" i="2"/>
  <c r="AG892" i="2"/>
  <c r="AF892" i="2"/>
  <c r="AE892" i="2"/>
  <c r="AE678" i="2"/>
  <c r="AE694" i="2"/>
  <c r="AF713" i="2"/>
  <c r="AE726" i="2"/>
  <c r="AF729" i="2"/>
  <c r="AG732" i="2"/>
  <c r="AE742" i="2"/>
  <c r="AG748" i="2"/>
  <c r="U754" i="2"/>
  <c r="AF770" i="2"/>
  <c r="AE770" i="2"/>
  <c r="AD770" i="2"/>
  <c r="AD776" i="2"/>
  <c r="AF742" i="2"/>
  <c r="AF836" i="2"/>
  <c r="AE836" i="2"/>
  <c r="AD836" i="2"/>
  <c r="U836" i="2"/>
  <c r="AH836" i="2"/>
  <c r="AG836" i="2"/>
  <c r="AD685" i="2"/>
  <c r="AD733" i="2"/>
  <c r="AH763" i="2"/>
  <c r="AG763" i="2"/>
  <c r="AF763" i="2"/>
  <c r="AE763" i="2"/>
  <c r="AE768" i="2"/>
  <c r="AG773" i="2"/>
  <c r="AF773" i="2"/>
  <c r="AD773" i="2"/>
  <c r="AE775" i="2"/>
  <c r="AH778" i="2"/>
  <c r="AG787" i="2"/>
  <c r="AD787" i="2"/>
  <c r="AH841" i="2"/>
  <c r="AG841" i="2"/>
  <c r="AF841" i="2"/>
  <c r="AE841" i="2"/>
  <c r="AH931" i="2"/>
  <c r="AF931" i="2"/>
  <c r="AD931" i="2"/>
  <c r="AD682" i="2"/>
  <c r="AE685" i="2"/>
  <c r="AD698" i="2"/>
  <c r="AE701" i="2"/>
  <c r="AD714" i="2"/>
  <c r="AE717" i="2"/>
  <c r="AD730" i="2"/>
  <c r="AE733" i="2"/>
  <c r="AD746" i="2"/>
  <c r="AE749" i="2"/>
  <c r="AF760" i="2"/>
  <c r="AH784" i="2"/>
  <c r="AD801" i="2"/>
  <c r="AD806" i="2"/>
  <c r="AE682" i="2"/>
  <c r="AF685" i="2"/>
  <c r="AE698" i="2"/>
  <c r="AF701" i="2"/>
  <c r="AE714" i="2"/>
  <c r="AF717" i="2"/>
  <c r="AD727" i="2"/>
  <c r="AE730" i="2"/>
  <c r="AF733" i="2"/>
  <c r="AD743" i="2"/>
  <c r="AE746" i="2"/>
  <c r="AF749" i="2"/>
  <c r="AF755" i="2"/>
  <c r="AE757" i="2"/>
  <c r="AD758" i="2"/>
  <c r="AH773" i="2"/>
  <c r="AF787" i="2"/>
  <c r="AF801" i="2"/>
  <c r="U801" i="2"/>
  <c r="V801" i="2" s="1"/>
  <c r="AH803" i="2"/>
  <c r="AH874" i="2"/>
  <c r="AG874" i="2"/>
  <c r="AF874" i="2"/>
  <c r="AE874" i="2"/>
  <c r="AD874" i="2"/>
  <c r="AF682" i="2"/>
  <c r="AG685" i="2"/>
  <c r="AD692" i="2"/>
  <c r="AF698" i="2"/>
  <c r="AG701" i="2"/>
  <c r="AD708" i="2"/>
  <c r="AF714" i="2"/>
  <c r="AG717" i="2"/>
  <c r="AD724" i="2"/>
  <c r="AE727" i="2"/>
  <c r="AF730" i="2"/>
  <c r="AG733" i="2"/>
  <c r="AD740" i="2"/>
  <c r="AE743" i="2"/>
  <c r="AF746" i="2"/>
  <c r="AG749" i="2"/>
  <c r="U763" i="2"/>
  <c r="AH766" i="2"/>
  <c r="AG766" i="2"/>
  <c r="AF766" i="2"/>
  <c r="AD766" i="2"/>
  <c r="AF786" i="2"/>
  <c r="AE786" i="2"/>
  <c r="AD786" i="2"/>
  <c r="U874" i="2"/>
  <c r="V874" i="2" s="1"/>
  <c r="AD753" i="2"/>
  <c r="AE754" i="2"/>
  <c r="AH760" i="2"/>
  <c r="AH769" i="2"/>
  <c r="AG770" i="2"/>
  <c r="AD755" i="2"/>
  <c r="AE758" i="2"/>
  <c r="AG764" i="2"/>
  <c r="AH767" i="2"/>
  <c r="AD771" i="2"/>
  <c r="AE774" i="2"/>
  <c r="AH783" i="2"/>
  <c r="AE790" i="2"/>
  <c r="AH799" i="2"/>
  <c r="AD803" i="2"/>
  <c r="AE806" i="2"/>
  <c r="AF809" i="2"/>
  <c r="AH815" i="2"/>
  <c r="AD819" i="2"/>
  <c r="AE822" i="2"/>
  <c r="AD824" i="2"/>
  <c r="AG825" i="2"/>
  <c r="AE825" i="2"/>
  <c r="AD825" i="2"/>
  <c r="U847" i="2"/>
  <c r="AH861" i="2"/>
  <c r="AG861" i="2"/>
  <c r="AF861" i="2"/>
  <c r="AE861" i="2"/>
  <c r="AD861" i="2"/>
  <c r="AE755" i="2"/>
  <c r="AF758" i="2"/>
  <c r="AH764" i="2"/>
  <c r="AE771" i="2"/>
  <c r="AF774" i="2"/>
  <c r="AH780" i="2"/>
  <c r="AD784" i="2"/>
  <c r="AE787" i="2"/>
  <c r="AH796" i="2"/>
  <c r="AD800" i="2"/>
  <c r="AE803" i="2"/>
  <c r="AF806" i="2"/>
  <c r="AH812" i="2"/>
  <c r="AD816" i="2"/>
  <c r="AE819" i="2"/>
  <c r="AF822" i="2"/>
  <c r="AE824" i="2"/>
  <c r="AH835" i="2"/>
  <c r="AF844" i="2"/>
  <c r="AH850" i="2"/>
  <c r="U861" i="2"/>
  <c r="V861" i="2" s="1"/>
  <c r="AH882" i="2"/>
  <c r="AK882" i="2" s="1"/>
  <c r="AL882" i="2" s="1"/>
  <c r="AN882" i="2" s="1"/>
  <c r="AG882" i="2"/>
  <c r="AF882" i="2"/>
  <c r="AE882" i="2"/>
  <c r="AD882" i="2"/>
  <c r="U882" i="2"/>
  <c r="V882" i="2" s="1"/>
  <c r="AH829" i="2"/>
  <c r="AG829" i="2"/>
  <c r="AF829" i="2"/>
  <c r="AF835" i="2"/>
  <c r="AE835" i="2"/>
  <c r="AF853" i="2"/>
  <c r="AE853" i="2"/>
  <c r="AH880" i="2"/>
  <c r="AK880" i="2" s="1"/>
  <c r="AL880" i="2" s="1"/>
  <c r="AN880" i="2" s="1"/>
  <c r="AE880" i="2"/>
  <c r="AG957" i="2"/>
  <c r="AF957" i="2"/>
  <c r="AE957" i="2"/>
  <c r="AD762" i="2"/>
  <c r="AE765" i="2"/>
  <c r="AG771" i="2"/>
  <c r="AD778" i="2"/>
  <c r="AE781" i="2"/>
  <c r="AF784" i="2"/>
  <c r="U792" i="2"/>
  <c r="V792" i="2" s="1"/>
  <c r="AD794" i="2"/>
  <c r="AE797" i="2"/>
  <c r="AF800" i="2"/>
  <c r="AG803" i="2"/>
  <c r="AH806" i="2"/>
  <c r="AD810" i="2"/>
  <c r="AE813" i="2"/>
  <c r="AF816" i="2"/>
  <c r="AG819" i="2"/>
  <c r="AH822" i="2"/>
  <c r="AG824" i="2"/>
  <c r="AH825" i="2"/>
  <c r="AH858" i="2"/>
  <c r="AG858" i="2"/>
  <c r="AF858" i="2"/>
  <c r="AE858" i="2"/>
  <c r="AD858" i="2"/>
  <c r="AE866" i="2"/>
  <c r="AD866" i="2"/>
  <c r="AE762" i="2"/>
  <c r="AF765" i="2"/>
  <c r="AE778" i="2"/>
  <c r="AF781" i="2"/>
  <c r="AG784" i="2"/>
  <c r="AD791" i="2"/>
  <c r="AE794" i="2"/>
  <c r="AG800" i="2"/>
  <c r="AD807" i="2"/>
  <c r="AE810" i="2"/>
  <c r="AF813" i="2"/>
  <c r="AG816" i="2"/>
  <c r="U835" i="2"/>
  <c r="AH842" i="2"/>
  <c r="AG842" i="2"/>
  <c r="AF842" i="2"/>
  <c r="AE842" i="2"/>
  <c r="AD853" i="2"/>
  <c r="AH863" i="2"/>
  <c r="U880" i="2"/>
  <c r="AG995" i="2"/>
  <c r="AF995" i="2"/>
  <c r="AD995" i="2"/>
  <c r="AE759" i="2"/>
  <c r="AF762" i="2"/>
  <c r="AD772" i="2"/>
  <c r="AF778" i="2"/>
  <c r="AD788" i="2"/>
  <c r="AE791" i="2"/>
  <c r="AF794" i="2"/>
  <c r="AG797" i="2"/>
  <c r="AH800" i="2"/>
  <c r="AD804" i="2"/>
  <c r="AE807" i="2"/>
  <c r="AF810" i="2"/>
  <c r="AH816" i="2"/>
  <c r="AD820" i="2"/>
  <c r="AE828" i="2"/>
  <c r="U829" i="2"/>
  <c r="AE850" i="2"/>
  <c r="AD850" i="2"/>
  <c r="AF852" i="2"/>
  <c r="AG880" i="2"/>
  <c r="AF979" i="2"/>
  <c r="AE979" i="2"/>
  <c r="AD979" i="2"/>
  <c r="AH979" i="2"/>
  <c r="AG979" i="2"/>
  <c r="AE772" i="2"/>
  <c r="AE788" i="2"/>
  <c r="AG794" i="2"/>
  <c r="AE804" i="2"/>
  <c r="AG810" i="2"/>
  <c r="AE820" i="2"/>
  <c r="AH834" i="2"/>
  <c r="AH845" i="2"/>
  <c r="AG845" i="2"/>
  <c r="AF845" i="2"/>
  <c r="AD845" i="2"/>
  <c r="AD856" i="2"/>
  <c r="AF936" i="2"/>
  <c r="AH936" i="2"/>
  <c r="AK936" i="2" s="1"/>
  <c r="AL936" i="2" s="1"/>
  <c r="AN936" i="2" s="1"/>
  <c r="AG936" i="2"/>
  <c r="AE936" i="2"/>
  <c r="AD936" i="2"/>
  <c r="AE769" i="2"/>
  <c r="AF772" i="2"/>
  <c r="AE785" i="2"/>
  <c r="AF788" i="2"/>
  <c r="AG791" i="2"/>
  <c r="AE801" i="2"/>
  <c r="AF804" i="2"/>
  <c r="AG807" i="2"/>
  <c r="AE817" i="2"/>
  <c r="AF820" i="2"/>
  <c r="AH839" i="2"/>
  <c r="AH923" i="2"/>
  <c r="AG923" i="2"/>
  <c r="AF923" i="2"/>
  <c r="AE923" i="2"/>
  <c r="AD923" i="2"/>
  <c r="AH826" i="2"/>
  <c r="AG826" i="2"/>
  <c r="AF826" i="2"/>
  <c r="AE826" i="2"/>
  <c r="AD829" i="2"/>
  <c r="AD835" i="2"/>
  <c r="AD841" i="2"/>
  <c r="AH867" i="2"/>
  <c r="AG867" i="2"/>
  <c r="AF867" i="2"/>
  <c r="AE867" i="2"/>
  <c r="AD867" i="2"/>
  <c r="AD760" i="2"/>
  <c r="AD792" i="2"/>
  <c r="AG801" i="2"/>
  <c r="AD808" i="2"/>
  <c r="AF823" i="2"/>
  <c r="AE823" i="2"/>
  <c r="U826" i="2"/>
  <c r="V826" i="2" s="1"/>
  <c r="AE829" i="2"/>
  <c r="AG835" i="2"/>
  <c r="AH837" i="2"/>
  <c r="AH881" i="2"/>
  <c r="AK881" i="2" s="1"/>
  <c r="AL881" i="2" s="1"/>
  <c r="AN881" i="2" s="1"/>
  <c r="AF881" i="2"/>
  <c r="AG881" i="2"/>
  <c r="AE881" i="2"/>
  <c r="AD881" i="2"/>
  <c r="AE760" i="2"/>
  <c r="AE776" i="2"/>
  <c r="AD789" i="2"/>
  <c r="AE792" i="2"/>
  <c r="AD805" i="2"/>
  <c r="AE808" i="2"/>
  <c r="AD821" i="2"/>
  <c r="AH832" i="2"/>
  <c r="AG832" i="2"/>
  <c r="AE832" i="2"/>
  <c r="AD832" i="2"/>
  <c r="AD834" i="2"/>
  <c r="AH848" i="2"/>
  <c r="AG848" i="2"/>
  <c r="AE848" i="2"/>
  <c r="AD848" i="2"/>
  <c r="AG852" i="2"/>
  <c r="U867" i="2"/>
  <c r="AH869" i="2"/>
  <c r="U881" i="2"/>
  <c r="V881" i="2" s="1"/>
  <c r="AG934" i="2"/>
  <c r="AE934" i="2"/>
  <c r="AD934" i="2"/>
  <c r="AF776" i="2"/>
  <c r="AF792" i="2"/>
  <c r="AD802" i="2"/>
  <c r="AE805" i="2"/>
  <c r="AF808" i="2"/>
  <c r="AD818" i="2"/>
  <c r="AE821" i="2"/>
  <c r="AH828" i="2"/>
  <c r="AF828" i="2"/>
  <c r="AD828" i="2"/>
  <c r="AH851" i="2"/>
  <c r="AF851" i="2"/>
  <c r="AE851" i="2"/>
  <c r="AD851" i="2"/>
  <c r="AH877" i="2"/>
  <c r="AG877" i="2"/>
  <c r="AF877" i="2"/>
  <c r="AE877" i="2"/>
  <c r="AD877" i="2"/>
  <c r="AF789" i="2"/>
  <c r="AE802" i="2"/>
  <c r="AE818" i="2"/>
  <c r="AH864" i="2"/>
  <c r="AG864" i="2"/>
  <c r="AF864" i="2"/>
  <c r="AE864" i="2"/>
  <c r="AD864" i="2"/>
  <c r="U877" i="2"/>
  <c r="AG828" i="2"/>
  <c r="U851" i="2"/>
  <c r="U864" i="2"/>
  <c r="V864" i="2" s="1"/>
  <c r="AF869" i="2"/>
  <c r="AE869" i="2"/>
  <c r="AD886" i="2"/>
  <c r="AF840" i="2"/>
  <c r="AG843" i="2"/>
  <c r="AF856" i="2"/>
  <c r="AG859" i="2"/>
  <c r="AF872" i="2"/>
  <c r="AG875" i="2"/>
  <c r="AF891" i="2"/>
  <c r="AE891" i="2"/>
  <c r="AD891" i="2"/>
  <c r="AH915" i="2"/>
  <c r="AF915" i="2"/>
  <c r="AH920" i="2"/>
  <c r="AG920" i="2"/>
  <c r="AF920" i="2"/>
  <c r="AE920" i="2"/>
  <c r="AD920" i="2"/>
  <c r="AD941" i="2"/>
  <c r="AH941" i="2"/>
  <c r="AG941" i="2"/>
  <c r="AF941" i="2"/>
  <c r="AE941" i="2"/>
  <c r="AH949" i="2"/>
  <c r="AD863" i="2"/>
  <c r="AG883" i="2"/>
  <c r="AE883" i="2"/>
  <c r="AG884" i="2"/>
  <c r="AF834" i="2"/>
  <c r="AG837" i="2"/>
  <c r="AD844" i="2"/>
  <c r="AF850" i="2"/>
  <c r="AG853" i="2"/>
  <c r="AD860" i="2"/>
  <c r="AE863" i="2"/>
  <c r="AF866" i="2"/>
  <c r="AG869" i="2"/>
  <c r="AD876" i="2"/>
  <c r="U883" i="2"/>
  <c r="AF893" i="2"/>
  <c r="AD915" i="2"/>
  <c r="AE918" i="2"/>
  <c r="AH925" i="2"/>
  <c r="AH939" i="2"/>
  <c r="AF939" i="2"/>
  <c r="AE939" i="2"/>
  <c r="AD939" i="2"/>
  <c r="AG983" i="2"/>
  <c r="AE983" i="2"/>
  <c r="AH990" i="2"/>
  <c r="AG990" i="2"/>
  <c r="AF990" i="2"/>
  <c r="AE990" i="2"/>
  <c r="AD990" i="2"/>
  <c r="AH1003" i="2"/>
  <c r="AG1003" i="2"/>
  <c r="AF1003" i="2"/>
  <c r="AE1003" i="2"/>
  <c r="AD1003" i="2"/>
  <c r="AG834" i="2"/>
  <c r="AE844" i="2"/>
  <c r="AG850" i="2"/>
  <c r="AE860" i="2"/>
  <c r="AF863" i="2"/>
  <c r="AG866" i="2"/>
  <c r="AD873" i="2"/>
  <c r="AE876" i="2"/>
  <c r="AE879" i="2"/>
  <c r="AD890" i="2"/>
  <c r="AE895" i="2"/>
  <c r="U895" i="2"/>
  <c r="V895" i="2" s="1"/>
  <c r="AH896" i="2"/>
  <c r="AF896" i="2"/>
  <c r="AE896" i="2"/>
  <c r="AD896" i="2"/>
  <c r="AF899" i="2"/>
  <c r="U852" i="2"/>
  <c r="AE857" i="2"/>
  <c r="AG863" i="2"/>
  <c r="U868" i="2"/>
  <c r="AE873" i="2"/>
  <c r="AF876" i="2"/>
  <c r="AF879" i="2"/>
  <c r="U884" i="2"/>
  <c r="U890" i="2"/>
  <c r="V890" i="2" s="1"/>
  <c r="AH890" i="2"/>
  <c r="AG890" i="2"/>
  <c r="AH905" i="2"/>
  <c r="AH912" i="2"/>
  <c r="AG912" i="2"/>
  <c r="AE912" i="2"/>
  <c r="AH928" i="2"/>
  <c r="AG928" i="2"/>
  <c r="AF928" i="2"/>
  <c r="AE928" i="2"/>
  <c r="AD928" i="2"/>
  <c r="AF857" i="2"/>
  <c r="AF873" i="2"/>
  <c r="AG879" i="2"/>
  <c r="AH889" i="2"/>
  <c r="AG889" i="2"/>
  <c r="AG943" i="2"/>
  <c r="AH951" i="2"/>
  <c r="AG951" i="2"/>
  <c r="AF951" i="2"/>
  <c r="AE951" i="2"/>
  <c r="AD951" i="2"/>
  <c r="U951" i="2"/>
  <c r="AG967" i="2"/>
  <c r="AE967" i="2"/>
  <c r="AG857" i="2"/>
  <c r="AG873" i="2"/>
  <c r="U885" i="2"/>
  <c r="AH886" i="2"/>
  <c r="AK886" i="2" s="1"/>
  <c r="AL886" i="2" s="1"/>
  <c r="AN886" i="2" s="1"/>
  <c r="AH887" i="2"/>
  <c r="AK887" i="2" s="1"/>
  <c r="AL887" i="2" s="1"/>
  <c r="AN887" i="2" s="1"/>
  <c r="AG887" i="2"/>
  <c r="AF887" i="2"/>
  <c r="AH888" i="2"/>
  <c r="AE888" i="2"/>
  <c r="U889" i="2"/>
  <c r="AG949" i="2"/>
  <c r="AD949" i="2"/>
  <c r="AH962" i="2"/>
  <c r="AF962" i="2"/>
  <c r="AD967" i="2"/>
  <c r="AG891" i="2"/>
  <c r="AH894" i="2"/>
  <c r="AG894" i="2"/>
  <c r="AF894" i="2"/>
  <c r="AE894" i="2"/>
  <c r="AD894" i="2"/>
  <c r="AH929" i="2"/>
  <c r="AG945" i="2"/>
  <c r="AG958" i="2"/>
  <c r="AE958" i="2"/>
  <c r="AD958" i="2"/>
  <c r="AG980" i="2"/>
  <c r="AF980" i="2"/>
  <c r="AH1000" i="2"/>
  <c r="AG1000" i="2"/>
  <c r="AF1000" i="2"/>
  <c r="AE1000" i="2"/>
  <c r="AD1000" i="2"/>
  <c r="U1000" i="2"/>
  <c r="V1000" i="2" s="1"/>
  <c r="AH900" i="2"/>
  <c r="AG900" i="2"/>
  <c r="AF900" i="2"/>
  <c r="AE900" i="2"/>
  <c r="AD900" i="2"/>
  <c r="AH943" i="2"/>
  <c r="AF943" i="2"/>
  <c r="AH945" i="2"/>
  <c r="AF945" i="2"/>
  <c r="AD945" i="2"/>
  <c r="AD839" i="2"/>
  <c r="AD855" i="2"/>
  <c r="AD871" i="2"/>
  <c r="AD883" i="2"/>
  <c r="AD884" i="2"/>
  <c r="AH904" i="2"/>
  <c r="AF904" i="2"/>
  <c r="AE904" i="2"/>
  <c r="AD904" i="2"/>
  <c r="AD905" i="2"/>
  <c r="AD980" i="2"/>
  <c r="AH998" i="2"/>
  <c r="AG998" i="2"/>
  <c r="AE839" i="2"/>
  <c r="AD852" i="2"/>
  <c r="AE855" i="2"/>
  <c r="AD868" i="2"/>
  <c r="AE871" i="2"/>
  <c r="AF883" i="2"/>
  <c r="AE884" i="2"/>
  <c r="AD885" i="2"/>
  <c r="AH893" i="2"/>
  <c r="U904" i="2"/>
  <c r="AE905" i="2"/>
  <c r="AG907" i="2"/>
  <c r="AF907" i="2"/>
  <c r="AE907" i="2"/>
  <c r="AD907" i="2"/>
  <c r="AE908" i="2"/>
  <c r="AH910" i="2"/>
  <c r="AG910" i="2"/>
  <c r="AF910" i="2"/>
  <c r="AE910" i="2"/>
  <c r="AD910" i="2"/>
  <c r="AH934" i="2"/>
  <c r="AK934" i="2" s="1"/>
  <c r="AL934" i="2" s="1"/>
  <c r="AN934" i="2" s="1"/>
  <c r="AD943" i="2"/>
  <c r="U945" i="2"/>
  <c r="AD833" i="2"/>
  <c r="AF839" i="2"/>
  <c r="AD849" i="2"/>
  <c r="AE852" i="2"/>
  <c r="AF855" i="2"/>
  <c r="AE868" i="2"/>
  <c r="AF871" i="2"/>
  <c r="AH883" i="2"/>
  <c r="AK883" i="2" s="1"/>
  <c r="AL883" i="2" s="1"/>
  <c r="AN883" i="2" s="1"/>
  <c r="AF884" i="2"/>
  <c r="AE890" i="2"/>
  <c r="U900" i="2"/>
  <c r="V900" i="2" s="1"/>
  <c r="AF908" i="2"/>
  <c r="AG929" i="2"/>
  <c r="AF880" i="2"/>
  <c r="AH884" i="2"/>
  <c r="AK884" i="2" s="1"/>
  <c r="AL884" i="2" s="1"/>
  <c r="AN884" i="2" s="1"/>
  <c r="AD889" i="2"/>
  <c r="AF890" i="2"/>
  <c r="AG897" i="2"/>
  <c r="AH903" i="2"/>
  <c r="AG913" i="2"/>
  <c r="AH926" i="2"/>
  <c r="AG926" i="2"/>
  <c r="AF926" i="2"/>
  <c r="AE926" i="2"/>
  <c r="AD926" i="2"/>
  <c r="AG931" i="2"/>
  <c r="AH1029" i="2"/>
  <c r="AF1029" i="2"/>
  <c r="AE1029" i="2"/>
  <c r="AD1029" i="2"/>
  <c r="AG1029" i="2"/>
  <c r="AD880" i="2"/>
  <c r="AF886" i="2"/>
  <c r="AE899" i="2"/>
  <c r="AF902" i="2"/>
  <c r="AG905" i="2"/>
  <c r="AH908" i="2"/>
  <c r="AD912" i="2"/>
  <c r="AE915" i="2"/>
  <c r="AF918" i="2"/>
  <c r="AH924" i="2"/>
  <c r="AE931" i="2"/>
  <c r="AF934" i="2"/>
  <c r="AE943" i="2"/>
  <c r="AG948" i="2"/>
  <c r="AG963" i="2"/>
  <c r="U979" i="2"/>
  <c r="V979" i="2" s="1"/>
  <c r="AH984" i="2"/>
  <c r="AK984" i="2" s="1"/>
  <c r="AL984" i="2" s="1"/>
  <c r="AN984" i="2" s="1"/>
  <c r="AG984" i="2"/>
  <c r="AF984" i="2"/>
  <c r="AE984" i="2"/>
  <c r="AD984" i="2"/>
  <c r="U984" i="2"/>
  <c r="AH987" i="2"/>
  <c r="AG987" i="2"/>
  <c r="AF987" i="2"/>
  <c r="AE987" i="2"/>
  <c r="AD987" i="2"/>
  <c r="AH992" i="2"/>
  <c r="AH1020" i="2"/>
  <c r="AF1020" i="2"/>
  <c r="AE1020" i="2"/>
  <c r="AG1020" i="2"/>
  <c r="AD1020" i="2"/>
  <c r="U1020" i="2"/>
  <c r="AD893" i="2"/>
  <c r="AD909" i="2"/>
  <c r="AD925" i="2"/>
  <c r="U961" i="2"/>
  <c r="V961" i="2" s="1"/>
  <c r="AH961" i="2"/>
  <c r="AG961" i="2"/>
  <c r="AD961" i="2"/>
  <c r="AE966" i="2"/>
  <c r="AD966" i="2"/>
  <c r="AH969" i="2"/>
  <c r="AG969" i="2"/>
  <c r="AF969" i="2"/>
  <c r="AE969" i="2"/>
  <c r="AD969" i="2"/>
  <c r="U969" i="2"/>
  <c r="V969" i="2" s="1"/>
  <c r="AG974" i="2"/>
  <c r="AE974" i="2"/>
  <c r="AE893" i="2"/>
  <c r="AE909" i="2"/>
  <c r="AE925" i="2"/>
  <c r="AH937" i="2"/>
  <c r="AK937" i="2" s="1"/>
  <c r="AL937" i="2" s="1"/>
  <c r="AN937" i="2" s="1"/>
  <c r="AD944" i="2"/>
  <c r="AF947" i="2"/>
  <c r="AF949" i="2"/>
  <c r="AF952" i="2"/>
  <c r="AG962" i="2"/>
  <c r="AE965" i="2"/>
  <c r="AD982" i="2"/>
  <c r="AF944" i="2"/>
  <c r="AH966" i="2"/>
  <c r="AH972" i="2"/>
  <c r="AG972" i="2"/>
  <c r="AF972" i="2"/>
  <c r="AE972" i="2"/>
  <c r="AD974" i="2"/>
  <c r="AE903" i="2"/>
  <c r="AF906" i="2"/>
  <c r="AG909" i="2"/>
  <c r="U914" i="2"/>
  <c r="V914" i="2" s="1"/>
  <c r="AD916" i="2"/>
  <c r="AE919" i="2"/>
  <c r="AF922" i="2"/>
  <c r="AG925" i="2"/>
  <c r="U930" i="2"/>
  <c r="AD932" i="2"/>
  <c r="AE935" i="2"/>
  <c r="AD940" i="2"/>
  <c r="AG944" i="2"/>
  <c r="AE950" i="2"/>
  <c r="AE960" i="2"/>
  <c r="AD960" i="2"/>
  <c r="AD897" i="2"/>
  <c r="AF903" i="2"/>
  <c r="AG906" i="2"/>
  <c r="U911" i="2"/>
  <c r="AD913" i="2"/>
  <c r="AE916" i="2"/>
  <c r="AF919" i="2"/>
  <c r="AG922" i="2"/>
  <c r="U927" i="2"/>
  <c r="AD929" i="2"/>
  <c r="AE932" i="2"/>
  <c r="AF935" i="2"/>
  <c r="AE940" i="2"/>
  <c r="AE945" i="2"/>
  <c r="U947" i="2"/>
  <c r="V947" i="2" s="1"/>
  <c r="AF950" i="2"/>
  <c r="U952" i="2"/>
  <c r="AH953" i="2"/>
  <c r="AG953" i="2"/>
  <c r="U960" i="2"/>
  <c r="AG968" i="2"/>
  <c r="AH978" i="2"/>
  <c r="AF978" i="2"/>
  <c r="AE897" i="2"/>
  <c r="AG903" i="2"/>
  <c r="AH906" i="2"/>
  <c r="AE913" i="2"/>
  <c r="AF916" i="2"/>
  <c r="AG919" i="2"/>
  <c r="AH922" i="2"/>
  <c r="AE929" i="2"/>
  <c r="AF932" i="2"/>
  <c r="AG935" i="2"/>
  <c r="AF940" i="2"/>
  <c r="U942" i="2"/>
  <c r="U972" i="2"/>
  <c r="AH975" i="2"/>
  <c r="AG975" i="2"/>
  <c r="AF975" i="2"/>
  <c r="AE975" i="2"/>
  <c r="AD975" i="2"/>
  <c r="AG1005" i="2"/>
  <c r="AE1005" i="2"/>
  <c r="AD1005" i="2"/>
  <c r="AH1069" i="2"/>
  <c r="AG1069" i="2"/>
  <c r="AF1069" i="2"/>
  <c r="AE1069" i="2"/>
  <c r="AD1069" i="2"/>
  <c r="U1069" i="2"/>
  <c r="AF897" i="2"/>
  <c r="AF913" i="2"/>
  <c r="AG916" i="2"/>
  <c r="AF929" i="2"/>
  <c r="AG932" i="2"/>
  <c r="AG940" i="2"/>
  <c r="AH959" i="2"/>
  <c r="AF959" i="2"/>
  <c r="AD959" i="2"/>
  <c r="AE961" i="2"/>
  <c r="AE964" i="2"/>
  <c r="U975" i="2"/>
  <c r="U978" i="2"/>
  <c r="V978" i="2" s="1"/>
  <c r="AH1021" i="2"/>
  <c r="AG1021" i="2"/>
  <c r="AE1021" i="2"/>
  <c r="AD1021" i="2"/>
  <c r="U1021" i="2"/>
  <c r="AF1021" i="2"/>
  <c r="AG1039" i="2"/>
  <c r="AE949" i="2"/>
  <c r="AF961" i="2"/>
  <c r="AH965" i="2"/>
  <c r="AF965" i="2"/>
  <c r="AD965" i="2"/>
  <c r="AH1032" i="2"/>
  <c r="AD1032" i="2"/>
  <c r="U1039" i="2"/>
  <c r="AH1039" i="2"/>
  <c r="AE1039" i="2"/>
  <c r="AD1039" i="2"/>
  <c r="AG939" i="2"/>
  <c r="AF946" i="2"/>
  <c r="AH956" i="2"/>
  <c r="AE956" i="2"/>
  <c r="AH958" i="2"/>
  <c r="AD972" i="2"/>
  <c r="AG978" i="2"/>
  <c r="AG989" i="2"/>
  <c r="AE989" i="2"/>
  <c r="AD989" i="2"/>
  <c r="AH993" i="2"/>
  <c r="AG993" i="2"/>
  <c r="AF993" i="2"/>
  <c r="AE993" i="2"/>
  <c r="AE901" i="2"/>
  <c r="AD914" i="2"/>
  <c r="AE917" i="2"/>
  <c r="AD930" i="2"/>
  <c r="AE933" i="2"/>
  <c r="AD937" i="2"/>
  <c r="AE944" i="2"/>
  <c r="AD947" i="2"/>
  <c r="AH955" i="2"/>
  <c r="AG955" i="2"/>
  <c r="AE955" i="2"/>
  <c r="AD957" i="2"/>
  <c r="AF960" i="2"/>
  <c r="AF963" i="2"/>
  <c r="AE963" i="2"/>
  <c r="AD963" i="2"/>
  <c r="AH964" i="2"/>
  <c r="AG965" i="2"/>
  <c r="AF967" i="2"/>
  <c r="AH980" i="2"/>
  <c r="AH1006" i="2"/>
  <c r="AG1006" i="2"/>
  <c r="AF1006" i="2"/>
  <c r="AE1006" i="2"/>
  <c r="AD1006" i="2"/>
  <c r="AD1025" i="2"/>
  <c r="U1025" i="2"/>
  <c r="V1025" i="2" s="1"/>
  <c r="AH1025" i="2"/>
  <c r="AG1025" i="2"/>
  <c r="AF1025" i="2"/>
  <c r="AE1025" i="2"/>
  <c r="AG950" i="2"/>
  <c r="AH977" i="2"/>
  <c r="AE942" i="2"/>
  <c r="AH960" i="2"/>
  <c r="AD964" i="2"/>
  <c r="AH974" i="2"/>
  <c r="AH995" i="2"/>
  <c r="AH957" i="2"/>
  <c r="AH973" i="2"/>
  <c r="AD977" i="2"/>
  <c r="AE980" i="2"/>
  <c r="AF983" i="2"/>
  <c r="AH988" i="2"/>
  <c r="AD992" i="2"/>
  <c r="AE995" i="2"/>
  <c r="AF998" i="2"/>
  <c r="AH1004" i="2"/>
  <c r="AG1018" i="2"/>
  <c r="AF1019" i="2"/>
  <c r="AH1053" i="2"/>
  <c r="AG1053" i="2"/>
  <c r="AF1053" i="2"/>
  <c r="AE1053" i="2"/>
  <c r="AD1053" i="2"/>
  <c r="U1053" i="2"/>
  <c r="AH1046" i="2"/>
  <c r="AF977" i="2"/>
  <c r="AF992" i="2"/>
  <c r="AD1002" i="2"/>
  <c r="AH1008" i="2"/>
  <c r="AD1008" i="2"/>
  <c r="AF958" i="2"/>
  <c r="AD968" i="2"/>
  <c r="AE971" i="2"/>
  <c r="AF974" i="2"/>
  <c r="AG977" i="2"/>
  <c r="AE986" i="2"/>
  <c r="AF989" i="2"/>
  <c r="AG992" i="2"/>
  <c r="AD999" i="2"/>
  <c r="AE1002" i="2"/>
  <c r="AF1005" i="2"/>
  <c r="U1018" i="2"/>
  <c r="U1019" i="2"/>
  <c r="AH1024" i="2"/>
  <c r="AF1024" i="2"/>
  <c r="AE1024" i="2"/>
  <c r="AD1024" i="2"/>
  <c r="AH1043" i="2"/>
  <c r="AG1043" i="2"/>
  <c r="AF1043" i="2"/>
  <c r="AE1043" i="2"/>
  <c r="AD1043" i="2"/>
  <c r="AH1087" i="2"/>
  <c r="AE1087" i="2"/>
  <c r="AD1087" i="2"/>
  <c r="AG1087" i="2"/>
  <c r="AF1087" i="2"/>
  <c r="AF971" i="2"/>
  <c r="AD981" i="2"/>
  <c r="AF986" i="2"/>
  <c r="AD996" i="2"/>
  <c r="AE999" i="2"/>
  <c r="AD1009" i="2"/>
  <c r="AH1009" i="2"/>
  <c r="AF1015" i="2"/>
  <c r="AE1015" i="2"/>
  <c r="AG1027" i="2"/>
  <c r="AF1027" i="2"/>
  <c r="AE1027" i="2"/>
  <c r="AD1027" i="2"/>
  <c r="AF1028" i="2"/>
  <c r="AD1035" i="2"/>
  <c r="U1043" i="2"/>
  <c r="V1043" i="2" s="1"/>
  <c r="AH1045" i="2"/>
  <c r="AD962" i="2"/>
  <c r="AF968" i="2"/>
  <c r="AG971" i="2"/>
  <c r="AD978" i="2"/>
  <c r="AG986" i="2"/>
  <c r="AG1002" i="2"/>
  <c r="U1015" i="2"/>
  <c r="V1015" i="2" s="1"/>
  <c r="U1016" i="2"/>
  <c r="V1016" i="2" s="1"/>
  <c r="U1027" i="2"/>
  <c r="V1027" i="2" s="1"/>
  <c r="AG1028" i="2"/>
  <c r="AF1030" i="2"/>
  <c r="AG1033" i="2"/>
  <c r="AE962" i="2"/>
  <c r="AE978" i="2"/>
  <c r="AF981" i="2"/>
  <c r="AF996" i="2"/>
  <c r="AG999" i="2"/>
  <c r="AH1010" i="2"/>
  <c r="AE1011" i="2"/>
  <c r="AE1012" i="2"/>
  <c r="AD1012" i="2"/>
  <c r="AH1028" i="2"/>
  <c r="AH1037" i="2"/>
  <c r="AG1037" i="2"/>
  <c r="AE1037" i="2"/>
  <c r="AD1037" i="2"/>
  <c r="U1037" i="2"/>
  <c r="AD1018" i="2"/>
  <c r="AD1019" i="2"/>
  <c r="AD1007" i="2"/>
  <c r="AE1018" i="2"/>
  <c r="AE1019" i="2"/>
  <c r="U1023" i="2"/>
  <c r="AH1023" i="2"/>
  <c r="AH1040" i="2"/>
  <c r="AE1007" i="2"/>
  <c r="AD1016" i="2"/>
  <c r="AF1017" i="2"/>
  <c r="AG1019" i="2"/>
  <c r="AH1030" i="2"/>
  <c r="AG1030" i="2"/>
  <c r="AE1030" i="2"/>
  <c r="AD1030" i="2"/>
  <c r="AH1036" i="2"/>
  <c r="AG1036" i="2"/>
  <c r="AF1036" i="2"/>
  <c r="AE1036" i="2"/>
  <c r="AE982" i="2"/>
  <c r="AD994" i="2"/>
  <c r="AE997" i="2"/>
  <c r="AF1007" i="2"/>
  <c r="AH1013" i="2"/>
  <c r="AD1013" i="2"/>
  <c r="AD1015" i="2"/>
  <c r="AF1016" i="2"/>
  <c r="AH1017" i="2"/>
  <c r="AH1026" i="2"/>
  <c r="AH1027" i="2"/>
  <c r="AG1072" i="2"/>
  <c r="U1072" i="2"/>
  <c r="AH1074" i="2"/>
  <c r="AF966" i="2"/>
  <c r="AD976" i="2"/>
  <c r="AF982" i="2"/>
  <c r="AD991" i="2"/>
  <c r="AE994" i="2"/>
  <c r="AF997" i="2"/>
  <c r="AG1007" i="2"/>
  <c r="AE1008" i="2"/>
  <c r="AG1015" i="2"/>
  <c r="AG1016" i="2"/>
  <c r="AH1042" i="2"/>
  <c r="AK1042" i="2" s="1"/>
  <c r="AL1042" i="2" s="1"/>
  <c r="AN1042" i="2" s="1"/>
  <c r="AF1008" i="2"/>
  <c r="AE1009" i="2"/>
  <c r="AE1013" i="2"/>
  <c r="AE1014" i="2"/>
  <c r="AH1015" i="2"/>
  <c r="AH1016" i="2"/>
  <c r="U1036" i="2"/>
  <c r="AF1037" i="2"/>
  <c r="AG1056" i="2"/>
  <c r="U1056" i="2"/>
  <c r="AH1058" i="2"/>
  <c r="AH1081" i="2"/>
  <c r="AG1081" i="2"/>
  <c r="AF1081" i="2"/>
  <c r="U1081" i="2"/>
  <c r="AF1089" i="2"/>
  <c r="AD1089" i="2"/>
  <c r="AH1103" i="2"/>
  <c r="AK1103" i="2" s="1"/>
  <c r="AL1103" i="2" s="1"/>
  <c r="AN1103" i="2" s="1"/>
  <c r="AG1103" i="2"/>
  <c r="AF1103" i="2"/>
  <c r="AE1103" i="2"/>
  <c r="AD1103" i="2"/>
  <c r="AE1137" i="2"/>
  <c r="AF1041" i="2"/>
  <c r="AG1044" i="2"/>
  <c r="AF1057" i="2"/>
  <c r="AG1060" i="2"/>
  <c r="AF1073" i="2"/>
  <c r="AG1076" i="2"/>
  <c r="AF1093" i="2"/>
  <c r="U1103" i="2"/>
  <c r="AG1108" i="2"/>
  <c r="AF1108" i="2"/>
  <c r="V1131" i="2"/>
  <c r="W1131" i="2" s="1"/>
  <c r="X1131" i="2" s="1"/>
  <c r="AH1145" i="2"/>
  <c r="AG1145" i="2"/>
  <c r="AF1145" i="2"/>
  <c r="AE1145" i="2"/>
  <c r="AD1145" i="2"/>
  <c r="AF1180" i="2"/>
  <c r="U1180" i="2"/>
  <c r="V1180" i="2" s="1"/>
  <c r="AE1032" i="2"/>
  <c r="AH1041" i="2"/>
  <c r="AK1041" i="2" s="1"/>
  <c r="AL1041" i="2" s="1"/>
  <c r="AN1041" i="2" s="1"/>
  <c r="AD1045" i="2"/>
  <c r="AE1048" i="2"/>
  <c r="AG1054" i="2"/>
  <c r="AH1057" i="2"/>
  <c r="AD1061" i="2"/>
  <c r="AE1064" i="2"/>
  <c r="AF1067" i="2"/>
  <c r="AH1073" i="2"/>
  <c r="AF1077" i="2"/>
  <c r="U1087" i="2"/>
  <c r="AG1089" i="2"/>
  <c r="AG1092" i="2"/>
  <c r="AH1096" i="2"/>
  <c r="AK1096" i="2" s="1"/>
  <c r="AL1096" i="2" s="1"/>
  <c r="AH1105" i="2"/>
  <c r="AK1105" i="2" s="1"/>
  <c r="AL1105" i="2" s="1"/>
  <c r="AD1108" i="2"/>
  <c r="AD1026" i="2"/>
  <c r="AF1032" i="2"/>
  <c r="AG1035" i="2"/>
  <c r="AD1042" i="2"/>
  <c r="AE1045" i="2"/>
  <c r="AF1048" i="2"/>
  <c r="AG1051" i="2"/>
  <c r="AD1058" i="2"/>
  <c r="AE1061" i="2"/>
  <c r="AF1064" i="2"/>
  <c r="AG1067" i="2"/>
  <c r="AH1070" i="2"/>
  <c r="AD1074" i="2"/>
  <c r="AG1077" i="2"/>
  <c r="AD1078" i="2"/>
  <c r="AF1091" i="2"/>
  <c r="AE1091" i="2"/>
  <c r="AD1091" i="2"/>
  <c r="AH1108" i="2"/>
  <c r="AK1108" i="2" s="1"/>
  <c r="AL1108" i="2" s="1"/>
  <c r="AH1161" i="2"/>
  <c r="AG1161" i="2"/>
  <c r="AF1161" i="2"/>
  <c r="AD1161" i="2"/>
  <c r="AE1161" i="2"/>
  <c r="AD1023" i="2"/>
  <c r="AE1026" i="2"/>
  <c r="AG1032" i="2"/>
  <c r="AH1035" i="2"/>
  <c r="AE1042" i="2"/>
  <c r="AF1045" i="2"/>
  <c r="AG1048" i="2"/>
  <c r="AH1051" i="2"/>
  <c r="AD1055" i="2"/>
  <c r="AE1058" i="2"/>
  <c r="AF1061" i="2"/>
  <c r="AG1064" i="2"/>
  <c r="AD1071" i="2"/>
  <c r="AE1074" i="2"/>
  <c r="AF1078" i="2"/>
  <c r="AF1079" i="2"/>
  <c r="AH1086" i="2"/>
  <c r="AG1086" i="2"/>
  <c r="AE1086" i="2"/>
  <c r="AF1088" i="2"/>
  <c r="U1091" i="2"/>
  <c r="V1091" i="2" s="1"/>
  <c r="AH1099" i="2"/>
  <c r="AK1099" i="2" s="1"/>
  <c r="AL1099" i="2" s="1"/>
  <c r="AH1118" i="2"/>
  <c r="U1161" i="2"/>
  <c r="AE1055" i="2"/>
  <c r="AD1081" i="2"/>
  <c r="AG1088" i="2"/>
  <c r="AF1023" i="2"/>
  <c r="AG1026" i="2"/>
  <c r="AF1039" i="2"/>
  <c r="AG1042" i="2"/>
  <c r="AD1049" i="2"/>
  <c r="AE1052" i="2"/>
  <c r="AF1055" i="2"/>
  <c r="AG1058" i="2"/>
  <c r="AD1065" i="2"/>
  <c r="AE1068" i="2"/>
  <c r="AF1071" i="2"/>
  <c r="AG1074" i="2"/>
  <c r="AD1079" i="2"/>
  <c r="AE1081" i="2"/>
  <c r="AD1085" i="2"/>
  <c r="AH1085" i="2"/>
  <c r="AF1090" i="2"/>
  <c r="AH1092" i="2"/>
  <c r="AF1105" i="2"/>
  <c r="V1147" i="2"/>
  <c r="W1147" i="2" s="1"/>
  <c r="X1147" i="2" s="1"/>
  <c r="AE1017" i="2"/>
  <c r="AE1033" i="2"/>
  <c r="AD1046" i="2"/>
  <c r="AF1052" i="2"/>
  <c r="AD1062" i="2"/>
  <c r="AF1068" i="2"/>
  <c r="AE1079" i="2"/>
  <c r="AD1080" i="2"/>
  <c r="AH1084" i="2"/>
  <c r="AG1084" i="2"/>
  <c r="AD1084" i="2"/>
  <c r="AG1094" i="2"/>
  <c r="AF1118" i="2"/>
  <c r="AD1118" i="2"/>
  <c r="U1041" i="2"/>
  <c r="V1041" i="2" s="1"/>
  <c r="AE1046" i="2"/>
  <c r="AF1049" i="2"/>
  <c r="AG1052" i="2"/>
  <c r="AH1055" i="2"/>
  <c r="U1057" i="2"/>
  <c r="V1057" i="2" s="1"/>
  <c r="AD1059" i="2"/>
  <c r="AE1062" i="2"/>
  <c r="AG1068" i="2"/>
  <c r="AH1071" i="2"/>
  <c r="U1073" i="2"/>
  <c r="AD1075" i="2"/>
  <c r="AE1077" i="2"/>
  <c r="AG1079" i="2"/>
  <c r="AD1040" i="2"/>
  <c r="AD1056" i="2"/>
  <c r="AE1059" i="2"/>
  <c r="AD1072" i="2"/>
  <c r="AE1075" i="2"/>
  <c r="AH1091" i="2"/>
  <c r="AE1104" i="2"/>
  <c r="AE1040" i="2"/>
  <c r="AG1046" i="2"/>
  <c r="AE1056" i="2"/>
  <c r="AF1059" i="2"/>
  <c r="AG1062" i="2"/>
  <c r="AE1072" i="2"/>
  <c r="AF1075" i="2"/>
  <c r="AH1083" i="2"/>
  <c r="AG1083" i="2"/>
  <c r="AF1083" i="2"/>
  <c r="AD1083" i="2"/>
  <c r="AG1093" i="2"/>
  <c r="U1094" i="2"/>
  <c r="V1094" i="2" s="1"/>
  <c r="AD1096" i="2"/>
  <c r="AD1101" i="2"/>
  <c r="U1101" i="2"/>
  <c r="AH1101" i="2"/>
  <c r="AK1101" i="2" s="1"/>
  <c r="AL1101" i="2" s="1"/>
  <c r="U1104" i="2"/>
  <c r="AG1104" i="2"/>
  <c r="AH1113" i="2"/>
  <c r="AG1113" i="2"/>
  <c r="AF1113" i="2"/>
  <c r="AE1113" i="2"/>
  <c r="AD1113" i="2"/>
  <c r="U1113" i="2"/>
  <c r="AF1134" i="2"/>
  <c r="AD1134" i="2"/>
  <c r="AF1040" i="2"/>
  <c r="AF1056" i="2"/>
  <c r="AG1059" i="2"/>
  <c r="AF1072" i="2"/>
  <c r="AG1075" i="2"/>
  <c r="U1077" i="2"/>
  <c r="AE1078" i="2"/>
  <c r="U1083" i="2"/>
  <c r="AD1086" i="2"/>
  <c r="AH1089" i="2"/>
  <c r="AD1090" i="2"/>
  <c r="AF1121" i="2"/>
  <c r="AF1086" i="2"/>
  <c r="AE1108" i="2"/>
  <c r="AF1018" i="2"/>
  <c r="AD1028" i="2"/>
  <c r="AE1031" i="2"/>
  <c r="AF1034" i="2"/>
  <c r="AD1044" i="2"/>
  <c r="AE1047" i="2"/>
  <c r="AF1050" i="2"/>
  <c r="AD1060" i="2"/>
  <c r="AE1063" i="2"/>
  <c r="AF1066" i="2"/>
  <c r="AD1076" i="2"/>
  <c r="AG1090" i="2"/>
  <c r="AD1094" i="2"/>
  <c r="AE1095" i="2"/>
  <c r="AH1097" i="2"/>
  <c r="AK1097" i="2" s="1"/>
  <c r="AL1097" i="2" s="1"/>
  <c r="AG1097" i="2"/>
  <c r="AF1097" i="2"/>
  <c r="AE1097" i="2"/>
  <c r="AD1097" i="2"/>
  <c r="U1097" i="2"/>
  <c r="V1097" i="2" s="1"/>
  <c r="AH1129" i="2"/>
  <c r="AG1129" i="2"/>
  <c r="AF1129" i="2"/>
  <c r="AE1129" i="2"/>
  <c r="AD1129" i="2"/>
  <c r="AH1148" i="2"/>
  <c r="AE1084" i="2"/>
  <c r="AF1085" i="2"/>
  <c r="AE1088" i="2"/>
  <c r="AH1090" i="2"/>
  <c r="AE1092" i="2"/>
  <c r="AH1100" i="2"/>
  <c r="AK1100" i="2" s="1"/>
  <c r="AL1100" i="2" s="1"/>
  <c r="AG1100" i="2"/>
  <c r="AF1100" i="2"/>
  <c r="AE1100" i="2"/>
  <c r="AD1100" i="2"/>
  <c r="AF1104" i="2"/>
  <c r="AH1106" i="2"/>
  <c r="AK1106" i="2" s="1"/>
  <c r="AL1106" i="2" s="1"/>
  <c r="AG1106" i="2"/>
  <c r="AE1106" i="2"/>
  <c r="AD1106" i="2"/>
  <c r="U1129" i="2"/>
  <c r="AF1150" i="2"/>
  <c r="AD1150" i="2"/>
  <c r="AE1117" i="2"/>
  <c r="AF1120" i="2"/>
  <c r="AE1133" i="2"/>
  <c r="AF1136" i="2"/>
  <c r="AG1139" i="2"/>
  <c r="AH1142" i="2"/>
  <c r="AE1149" i="2"/>
  <c r="AH1152" i="2"/>
  <c r="AH1198" i="2"/>
  <c r="AG1198" i="2"/>
  <c r="AE1198" i="2"/>
  <c r="AF1238" i="2"/>
  <c r="AE1238" i="2"/>
  <c r="AD1238" i="2"/>
  <c r="AH1238" i="2"/>
  <c r="AG1238" i="2"/>
  <c r="AH1107" i="2"/>
  <c r="AD1111" i="2"/>
  <c r="AF1117" i="2"/>
  <c r="AG1120" i="2"/>
  <c r="AH1123" i="2"/>
  <c r="AD1127" i="2"/>
  <c r="AF1133" i="2"/>
  <c r="AG1136" i="2"/>
  <c r="AH1139" i="2"/>
  <c r="AF1149" i="2"/>
  <c r="AH1180" i="2"/>
  <c r="AD1105" i="2"/>
  <c r="W1109" i="2"/>
  <c r="X1109" i="2" s="1"/>
  <c r="AF1111" i="2"/>
  <c r="AH1117" i="2"/>
  <c r="AK1117" i="2" s="1"/>
  <c r="AL1117" i="2" s="1"/>
  <c r="AN1117" i="2" s="1"/>
  <c r="AD1121" i="2"/>
  <c r="AE1124" i="2"/>
  <c r="AF1127" i="2"/>
  <c r="AH1133" i="2"/>
  <c r="AD1137" i="2"/>
  <c r="AE1140" i="2"/>
  <c r="AF1143" i="2"/>
  <c r="AH1149" i="2"/>
  <c r="AH1193" i="2"/>
  <c r="AG1193" i="2"/>
  <c r="AF1193" i="2"/>
  <c r="AE1193" i="2"/>
  <c r="AD1193" i="2"/>
  <c r="AE1105" i="2"/>
  <c r="AE1121" i="2"/>
  <c r="AE1166" i="2"/>
  <c r="AH1209" i="2"/>
  <c r="AG1209" i="2"/>
  <c r="AF1209" i="2"/>
  <c r="AE1209" i="2"/>
  <c r="AD1209" i="2"/>
  <c r="AD1099" i="2"/>
  <c r="AE1102" i="2"/>
  <c r="AD1115" i="2"/>
  <c r="AE1118" i="2"/>
  <c r="AD1131" i="2"/>
  <c r="AE1134" i="2"/>
  <c r="AF1137" i="2"/>
  <c r="AG1140" i="2"/>
  <c r="AD1147" i="2"/>
  <c r="AE1150" i="2"/>
  <c r="AE1155" i="2"/>
  <c r="AH1195" i="2"/>
  <c r="U1209" i="2"/>
  <c r="AH1219" i="2"/>
  <c r="AH1153" i="2"/>
  <c r="AG1153" i="2"/>
  <c r="AE1153" i="2"/>
  <c r="AH1177" i="2"/>
  <c r="AK1177" i="2" s="1"/>
  <c r="AL1177" i="2" s="1"/>
  <c r="AN1177" i="2" s="1"/>
  <c r="AG1177" i="2"/>
  <c r="AF1177" i="2"/>
  <c r="AE1177" i="2"/>
  <c r="AD1177" i="2"/>
  <c r="AF1201" i="2"/>
  <c r="AD1201" i="2"/>
  <c r="AE1080" i="2"/>
  <c r="AD1093" i="2"/>
  <c r="AE1096" i="2"/>
  <c r="AF1099" i="2"/>
  <c r="AG1102" i="2"/>
  <c r="AD1109" i="2"/>
  <c r="AE1112" i="2"/>
  <c r="AF1115" i="2"/>
  <c r="AG1118" i="2"/>
  <c r="AD1125" i="2"/>
  <c r="AF1131" i="2"/>
  <c r="AG1134" i="2"/>
  <c r="AD1141" i="2"/>
  <c r="AE1144" i="2"/>
  <c r="AF1147" i="2"/>
  <c r="AG1150" i="2"/>
  <c r="U1152" i="2"/>
  <c r="U1153" i="2"/>
  <c r="V1153" i="2" s="1"/>
  <c r="U1154" i="2"/>
  <c r="V1154" i="2" s="1"/>
  <c r="AH1157" i="2"/>
  <c r="AG1157" i="2"/>
  <c r="AF1157" i="2"/>
  <c r="AE1157" i="2"/>
  <c r="AG1170" i="2"/>
  <c r="U1177" i="2"/>
  <c r="V1177" i="2" s="1"/>
  <c r="AE1182" i="2"/>
  <c r="AH1270" i="2"/>
  <c r="AF1270" i="2"/>
  <c r="AE1270" i="2"/>
  <c r="AD1270" i="2"/>
  <c r="U1270" i="2"/>
  <c r="AG1270" i="2"/>
  <c r="AF1080" i="2"/>
  <c r="AE1093" i="2"/>
  <c r="AF1096" i="2"/>
  <c r="AG1099" i="2"/>
  <c r="AF1112" i="2"/>
  <c r="AG1115" i="2"/>
  <c r="AD1122" i="2"/>
  <c r="AE1125" i="2"/>
  <c r="AF1128" i="2"/>
  <c r="AG1131" i="2"/>
  <c r="AD1138" i="2"/>
  <c r="AE1141" i="2"/>
  <c r="AF1144" i="2"/>
  <c r="AG1147" i="2"/>
  <c r="AH1164" i="2"/>
  <c r="AH1170" i="2"/>
  <c r="AK1170" i="2" s="1"/>
  <c r="AL1170" i="2" s="1"/>
  <c r="AD1170" i="2"/>
  <c r="AE1219" i="2"/>
  <c r="AE1090" i="2"/>
  <c r="AF1109" i="2"/>
  <c r="U1117" i="2"/>
  <c r="AD1119" i="2"/>
  <c r="AE1122" i="2"/>
  <c r="AG1128" i="2"/>
  <c r="AH1131" i="2"/>
  <c r="U1133" i="2"/>
  <c r="AD1135" i="2"/>
  <c r="AE1138" i="2"/>
  <c r="AG1144" i="2"/>
  <c r="U1149" i="2"/>
  <c r="AD1151" i="2"/>
  <c r="AH1167" i="2"/>
  <c r="AK1167" i="2" s="1"/>
  <c r="AL1167" i="2" s="1"/>
  <c r="AN1167" i="2" s="1"/>
  <c r="AF1167" i="2"/>
  <c r="AE1167" i="2"/>
  <c r="AD1167" i="2"/>
  <c r="AH1190" i="2"/>
  <c r="AG1190" i="2"/>
  <c r="AF1190" i="2"/>
  <c r="AE1190" i="2"/>
  <c r="AD1190" i="2"/>
  <c r="AF1241" i="2"/>
  <c r="U1241" i="2"/>
  <c r="AH1241" i="2"/>
  <c r="AD1116" i="2"/>
  <c r="AE1119" i="2"/>
  <c r="AF1122" i="2"/>
  <c r="AD1132" i="2"/>
  <c r="AE1135" i="2"/>
  <c r="AF1138" i="2"/>
  <c r="AD1148" i="2"/>
  <c r="AE1151" i="2"/>
  <c r="U1170" i="2"/>
  <c r="U1190" i="2"/>
  <c r="V1190" i="2" s="1"/>
  <c r="AE1116" i="2"/>
  <c r="AF1119" i="2"/>
  <c r="AG1122" i="2"/>
  <c r="AE1132" i="2"/>
  <c r="AF1135" i="2"/>
  <c r="AG1138" i="2"/>
  <c r="AE1148" i="2"/>
  <c r="AF1151" i="2"/>
  <c r="AG1215" i="2"/>
  <c r="AF1215" i="2"/>
  <c r="AD1215" i="2"/>
  <c r="AF1116" i="2"/>
  <c r="AG1119" i="2"/>
  <c r="AF1132" i="2"/>
  <c r="AG1135" i="2"/>
  <c r="AF1148" i="2"/>
  <c r="AG1151" i="2"/>
  <c r="AD1154" i="2"/>
  <c r="AF1155" i="2"/>
  <c r="AE1156" i="2"/>
  <c r="U1167" i="2"/>
  <c r="V1167" i="2" s="1"/>
  <c r="AH1174" i="2"/>
  <c r="AG1174" i="2"/>
  <c r="AF1174" i="2"/>
  <c r="AE1174" i="2"/>
  <c r="AD1174" i="2"/>
  <c r="AE1094" i="2"/>
  <c r="W1095" i="2"/>
  <c r="AD1107" i="2"/>
  <c r="AE1110" i="2"/>
  <c r="AG1116" i="2"/>
  <c r="AD1123" i="2"/>
  <c r="AE1126" i="2"/>
  <c r="AG1132" i="2"/>
  <c r="AD1139" i="2"/>
  <c r="AE1142" i="2"/>
  <c r="AG1148" i="2"/>
  <c r="AE1152" i="2"/>
  <c r="AD1153" i="2"/>
  <c r="AF1154" i="2"/>
  <c r="AG1155" i="2"/>
  <c r="AG1158" i="2"/>
  <c r="AF1158" i="2"/>
  <c r="AE1158" i="2"/>
  <c r="U1163" i="2"/>
  <c r="AH1163" i="2"/>
  <c r="AG1163" i="2"/>
  <c r="AF1163" i="2"/>
  <c r="AE1163" i="2"/>
  <c r="U1174" i="2"/>
  <c r="V1174" i="2" s="1"/>
  <c r="AF1196" i="2"/>
  <c r="U1196" i="2"/>
  <c r="V1196" i="2" s="1"/>
  <c r="AF1198" i="2"/>
  <c r="AD1088" i="2"/>
  <c r="AF1094" i="2"/>
  <c r="AD1104" i="2"/>
  <c r="AE1107" i="2"/>
  <c r="AF1110" i="2"/>
  <c r="AD1120" i="2"/>
  <c r="AE1123" i="2"/>
  <c r="AF1126" i="2"/>
  <c r="AD1136" i="2"/>
  <c r="AE1139" i="2"/>
  <c r="AF1142" i="2"/>
  <c r="AF1152" i="2"/>
  <c r="AF1153" i="2"/>
  <c r="AG1154" i="2"/>
  <c r="U1158" i="2"/>
  <c r="V1158" i="2" s="1"/>
  <c r="AF1164" i="2"/>
  <c r="AH1169" i="2"/>
  <c r="AK1169" i="2" s="1"/>
  <c r="AL1169" i="2" s="1"/>
  <c r="AN1169" i="2" s="1"/>
  <c r="AH1212" i="2"/>
  <c r="AG1212" i="2"/>
  <c r="U1212" i="2"/>
  <c r="AH1216" i="2"/>
  <c r="AG1152" i="2"/>
  <c r="AH1154" i="2"/>
  <c r="AG1167" i="2"/>
  <c r="AH1220" i="2"/>
  <c r="AG1220" i="2"/>
  <c r="AH1234" i="2"/>
  <c r="AG1234" i="2"/>
  <c r="AF1234" i="2"/>
  <c r="AE1234" i="2"/>
  <c r="U1238" i="2"/>
  <c r="AF1156" i="2"/>
  <c r="AG1159" i="2"/>
  <c r="AD1166" i="2"/>
  <c r="AE1169" i="2"/>
  <c r="AF1172" i="2"/>
  <c r="AD1182" i="2"/>
  <c r="AE1185" i="2"/>
  <c r="AF1188" i="2"/>
  <c r="AG1191" i="2"/>
  <c r="AH1194" i="2"/>
  <c r="AD1198" i="2"/>
  <c r="AH1210" i="2"/>
  <c r="AE1213" i="2"/>
  <c r="AD1216" i="2"/>
  <c r="AH1221" i="2"/>
  <c r="AG1221" i="2"/>
  <c r="AD1221" i="2"/>
  <c r="AH1224" i="2"/>
  <c r="AG1224" i="2"/>
  <c r="AE1224" i="2"/>
  <c r="AD1224" i="2"/>
  <c r="AD1225" i="2"/>
  <c r="U1234" i="2"/>
  <c r="V1234" i="2" s="1"/>
  <c r="AH1253" i="2"/>
  <c r="AH1175" i="2"/>
  <c r="AK1175" i="2" s="1"/>
  <c r="AL1175" i="2" s="1"/>
  <c r="AN1175" i="2" s="1"/>
  <c r="AD1179" i="2"/>
  <c r="AD1195" i="2"/>
  <c r="AG1204" i="2"/>
  <c r="AD1211" i="2"/>
  <c r="AD1217" i="2"/>
  <c r="AH1286" i="2"/>
  <c r="AF1286" i="2"/>
  <c r="AE1286" i="2"/>
  <c r="AD1286" i="2"/>
  <c r="U1286" i="2"/>
  <c r="AD1160" i="2"/>
  <c r="AF1166" i="2"/>
  <c r="AG1169" i="2"/>
  <c r="AD1176" i="2"/>
  <c r="AE1179" i="2"/>
  <c r="AF1182" i="2"/>
  <c r="AG1185" i="2"/>
  <c r="AD1192" i="2"/>
  <c r="AE1195" i="2"/>
  <c r="AG1201" i="2"/>
  <c r="U1206" i="2"/>
  <c r="V1206" i="2" s="1"/>
  <c r="AD1208" i="2"/>
  <c r="AE1211" i="2"/>
  <c r="AE1217" i="2"/>
  <c r="U1220" i="2"/>
  <c r="AH1223" i="2"/>
  <c r="AG1223" i="2"/>
  <c r="AD1258" i="2"/>
  <c r="U1258" i="2"/>
  <c r="V1258" i="2" s="1"/>
  <c r="AE1258" i="2"/>
  <c r="AH1266" i="2"/>
  <c r="AG1266" i="2"/>
  <c r="AF1266" i="2"/>
  <c r="AE1266" i="2"/>
  <c r="AE1160" i="2"/>
  <c r="AG1166" i="2"/>
  <c r="U1171" i="2"/>
  <c r="AD1173" i="2"/>
  <c r="AE1176" i="2"/>
  <c r="AF1179" i="2"/>
  <c r="AG1182" i="2"/>
  <c r="AD1189" i="2"/>
  <c r="AE1192" i="2"/>
  <c r="AF1195" i="2"/>
  <c r="AD1205" i="2"/>
  <c r="AE1208" i="2"/>
  <c r="AF1211" i="2"/>
  <c r="U1213" i="2"/>
  <c r="AF1217" i="2"/>
  <c r="U1221" i="2"/>
  <c r="U1224" i="2"/>
  <c r="AH1237" i="2"/>
  <c r="U1168" i="2"/>
  <c r="AE1173" i="2"/>
  <c r="AF1176" i="2"/>
  <c r="AG1179" i="2"/>
  <c r="U1184" i="2"/>
  <c r="V1184" i="2" s="1"/>
  <c r="AD1186" i="2"/>
  <c r="AG1195" i="2"/>
  <c r="U1200" i="2"/>
  <c r="V1200" i="2" s="1"/>
  <c r="AD1202" i="2"/>
  <c r="AF1208" i="2"/>
  <c r="AG1211" i="2"/>
  <c r="AG1217" i="2"/>
  <c r="AH1226" i="2"/>
  <c r="AF1226" i="2"/>
  <c r="AH1255" i="2"/>
  <c r="AG1255" i="2"/>
  <c r="AE1255" i="2"/>
  <c r="AD1255" i="2"/>
  <c r="AG1160" i="2"/>
  <c r="AE1170" i="2"/>
  <c r="AF1173" i="2"/>
  <c r="AD1183" i="2"/>
  <c r="AE1186" i="2"/>
  <c r="AF1189" i="2"/>
  <c r="AG1192" i="2"/>
  <c r="AD1199" i="2"/>
  <c r="AE1202" i="2"/>
  <c r="AF1205" i="2"/>
  <c r="AG1208" i="2"/>
  <c r="AD1218" i="2"/>
  <c r="AD1219" i="2"/>
  <c r="AG1230" i="2"/>
  <c r="AD1234" i="2"/>
  <c r="AG1246" i="2"/>
  <c r="U1255" i="2"/>
  <c r="AH1274" i="2"/>
  <c r="AH1282" i="2"/>
  <c r="AG1282" i="2"/>
  <c r="AF1282" i="2"/>
  <c r="AE1282" i="2"/>
  <c r="AH1289" i="2"/>
  <c r="AD1164" i="2"/>
  <c r="AF1170" i="2"/>
  <c r="AD1180" i="2"/>
  <c r="AE1183" i="2"/>
  <c r="AG1189" i="2"/>
  <c r="AD1196" i="2"/>
  <c r="AE1199" i="2"/>
  <c r="AG1205" i="2"/>
  <c r="AE1215" i="2"/>
  <c r="AE1218" i="2"/>
  <c r="AE1225" i="2"/>
  <c r="AD1226" i="2"/>
  <c r="U1237" i="2"/>
  <c r="V1237" i="2" s="1"/>
  <c r="AE1253" i="2"/>
  <c r="AD1274" i="2"/>
  <c r="U1274" i="2"/>
  <c r="AF1274" i="2"/>
  <c r="AE1274" i="2"/>
  <c r="AE1164" i="2"/>
  <c r="AE1180" i="2"/>
  <c r="AF1183" i="2"/>
  <c r="AG1186" i="2"/>
  <c r="U1191" i="2"/>
  <c r="AE1196" i="2"/>
  <c r="AF1199" i="2"/>
  <c r="AG1202" i="2"/>
  <c r="AF1225" i="2"/>
  <c r="AE1226" i="2"/>
  <c r="AH1236" i="2"/>
  <c r="AG1257" i="2"/>
  <c r="AE1262" i="2"/>
  <c r="AG1285" i="2"/>
  <c r="AG1286" i="2"/>
  <c r="AG1183" i="2"/>
  <c r="AG1199" i="2"/>
  <c r="AD1206" i="2"/>
  <c r="AF1216" i="2"/>
  <c r="AE1216" i="2"/>
  <c r="AD1220" i="2"/>
  <c r="AH1271" i="2"/>
  <c r="AG1271" i="2"/>
  <c r="AE1271" i="2"/>
  <c r="AD1271" i="2"/>
  <c r="AH1285" i="2"/>
  <c r="AD1285" i="2"/>
  <c r="U1285" i="2"/>
  <c r="V1285" i="2" s="1"/>
  <c r="AD1155" i="2"/>
  <c r="AG1164" i="2"/>
  <c r="AD1171" i="2"/>
  <c r="AG1180" i="2"/>
  <c r="AD1187" i="2"/>
  <c r="AG1196" i="2"/>
  <c r="AD1203" i="2"/>
  <c r="AE1206" i="2"/>
  <c r="AF1213" i="2"/>
  <c r="AE1220" i="2"/>
  <c r="AH1225" i="2"/>
  <c r="AH1228" i="2"/>
  <c r="AF1228" i="2"/>
  <c r="AE1228" i="2"/>
  <c r="AD1228" i="2"/>
  <c r="AH1233" i="2"/>
  <c r="AG1233" i="2"/>
  <c r="AE1233" i="2"/>
  <c r="AH1239" i="2"/>
  <c r="AG1239" i="2"/>
  <c r="AE1239" i="2"/>
  <c r="AD1239" i="2"/>
  <c r="U1242" i="2"/>
  <c r="V1242" i="2" s="1"/>
  <c r="AE1242" i="2"/>
  <c r="AF1255" i="2"/>
  <c r="U1271" i="2"/>
  <c r="AH1290" i="2"/>
  <c r="AD1168" i="2"/>
  <c r="AD1184" i="2"/>
  <c r="AE1187" i="2"/>
  <c r="AD1200" i="2"/>
  <c r="AE1203" i="2"/>
  <c r="AF1206" i="2"/>
  <c r="AG1213" i="2"/>
  <c r="AF1220" i="2"/>
  <c r="AF1221" i="2"/>
  <c r="AD1223" i="2"/>
  <c r="U1228" i="2"/>
  <c r="V1228" i="2" s="1"/>
  <c r="AH1231" i="2"/>
  <c r="AG1231" i="2"/>
  <c r="AF1231" i="2"/>
  <c r="AE1231" i="2"/>
  <c r="AD1231" i="2"/>
  <c r="U1239" i="2"/>
  <c r="AH1247" i="2"/>
  <c r="AK1247" i="2" s="1"/>
  <c r="AL1247" i="2" s="1"/>
  <c r="AN1247" i="2" s="1"/>
  <c r="AH1254" i="2"/>
  <c r="AF1254" i="2"/>
  <c r="AE1254" i="2"/>
  <c r="AD1254" i="2"/>
  <c r="U1254" i="2"/>
  <c r="AH1259" i="2"/>
  <c r="AE1269" i="2"/>
  <c r="AG1274" i="2"/>
  <c r="AD1290" i="2"/>
  <c r="U1290" i="2"/>
  <c r="AF1290" i="2"/>
  <c r="AE1290" i="2"/>
  <c r="AE1168" i="2"/>
  <c r="AE1184" i="2"/>
  <c r="AD1197" i="2"/>
  <c r="AE1200" i="2"/>
  <c r="AG1206" i="2"/>
  <c r="AD1214" i="2"/>
  <c r="AE1223" i="2"/>
  <c r="AD1233" i="2"/>
  <c r="AF1242" i="2"/>
  <c r="AE1278" i="2"/>
  <c r="U1287" i="2"/>
  <c r="AH1287" i="2"/>
  <c r="AG1287" i="2"/>
  <c r="AE1287" i="2"/>
  <c r="AD1287" i="2"/>
  <c r="AH1250" i="2"/>
  <c r="AG1250" i="2"/>
  <c r="AF1250" i="2"/>
  <c r="AE1250" i="2"/>
  <c r="AH1292" i="2"/>
  <c r="AD1212" i="2"/>
  <c r="AG1219" i="2"/>
  <c r="AF1219" i="2"/>
  <c r="AD1236" i="2"/>
  <c r="AG1241" i="2"/>
  <c r="AD1242" i="2"/>
  <c r="AH1244" i="2"/>
  <c r="U1250" i="2"/>
  <c r="AH1257" i="2"/>
  <c r="AF1271" i="2"/>
  <c r="AE1285" i="2"/>
  <c r="AH1299" i="2"/>
  <c r="AE1306" i="2"/>
  <c r="AH1232" i="2"/>
  <c r="AH1248" i="2"/>
  <c r="AD1252" i="2"/>
  <c r="AH1264" i="2"/>
  <c r="AD1268" i="2"/>
  <c r="AH1280" i="2"/>
  <c r="AD1284" i="2"/>
  <c r="AH1296" i="2"/>
  <c r="U1298" i="2"/>
  <c r="AD1300" i="2"/>
  <c r="AE1303" i="2"/>
  <c r="AF1306" i="2"/>
  <c r="AE1300" i="2"/>
  <c r="AF1303" i="2"/>
  <c r="AG1306" i="2"/>
  <c r="AD1230" i="2"/>
  <c r="AF1236" i="2"/>
  <c r="AD1246" i="2"/>
  <c r="AE1249" i="2"/>
  <c r="AF1252" i="2"/>
  <c r="AD1262" i="2"/>
  <c r="AE1265" i="2"/>
  <c r="AF1268" i="2"/>
  <c r="AD1278" i="2"/>
  <c r="AE1281" i="2"/>
  <c r="AF1284" i="2"/>
  <c r="AD1294" i="2"/>
  <c r="AE1297" i="2"/>
  <c r="AF1300" i="2"/>
  <c r="AF1218" i="2"/>
  <c r="AD1227" i="2"/>
  <c r="AG1236" i="2"/>
  <c r="AD1243" i="2"/>
  <c r="AD1259" i="2"/>
  <c r="AD1275" i="2"/>
  <c r="AD1291" i="2"/>
  <c r="AE1294" i="2"/>
  <c r="AD1307" i="2"/>
  <c r="AE1227" i="2"/>
  <c r="AF1230" i="2"/>
  <c r="AD1240" i="2"/>
  <c r="AE1243" i="2"/>
  <c r="AF1246" i="2"/>
  <c r="AG1249" i="2"/>
  <c r="AD1256" i="2"/>
  <c r="AE1259" i="2"/>
  <c r="AF1262" i="2"/>
  <c r="AG1265" i="2"/>
  <c r="AD1272" i="2"/>
  <c r="AE1275" i="2"/>
  <c r="AF1278" i="2"/>
  <c r="AG1281" i="2"/>
  <c r="AE1291" i="2"/>
  <c r="AF1294" i="2"/>
  <c r="AG1297" i="2"/>
  <c r="AE1307" i="2"/>
  <c r="AF1227" i="2"/>
  <c r="AD1237" i="2"/>
  <c r="AE1240" i="2"/>
  <c r="AF1243" i="2"/>
  <c r="AD1253" i="2"/>
  <c r="AE1256" i="2"/>
  <c r="AF1259" i="2"/>
  <c r="AD1269" i="2"/>
  <c r="AE1272" i="2"/>
  <c r="AF1275" i="2"/>
  <c r="AE1288" i="2"/>
  <c r="AF1291" i="2"/>
  <c r="AE1304" i="2"/>
  <c r="AF1307" i="2"/>
  <c r="AF1304" i="2"/>
  <c r="AG1307" i="2"/>
  <c r="AF1237" i="2"/>
  <c r="AG1240" i="2"/>
  <c r="AD1247" i="2"/>
  <c r="AF1253" i="2"/>
  <c r="AG1256" i="2"/>
  <c r="AD1263" i="2"/>
  <c r="AF1269" i="2"/>
  <c r="AG1272" i="2"/>
  <c r="AD1279" i="2"/>
  <c r="AF1285" i="2"/>
  <c r="AG1288" i="2"/>
  <c r="AD1295" i="2"/>
  <c r="AE1298" i="2"/>
  <c r="AG1304" i="2"/>
  <c r="AG1237" i="2"/>
  <c r="AD1244" i="2"/>
  <c r="AE1247" i="2"/>
  <c r="AG1253" i="2"/>
  <c r="AD1260" i="2"/>
  <c r="AE1263" i="2"/>
  <c r="AG1269" i="2"/>
  <c r="AD1276" i="2"/>
  <c r="AE1279" i="2"/>
  <c r="AD1292" i="2"/>
  <c r="AE1295" i="2"/>
  <c r="AD1241" i="2"/>
  <c r="AE1244" i="2"/>
  <c r="AF1247" i="2"/>
  <c r="AD1257" i="2"/>
  <c r="AE1260" i="2"/>
  <c r="AF1263" i="2"/>
  <c r="AD1273" i="2"/>
  <c r="AE1276" i="2"/>
  <c r="AF1279" i="2"/>
  <c r="AD1289" i="2"/>
  <c r="AE1292" i="2"/>
  <c r="AF1295" i="2"/>
  <c r="AE1241" i="2"/>
  <c r="AF1244" i="2"/>
  <c r="AG1247" i="2"/>
  <c r="AE1257" i="2"/>
  <c r="AF1260" i="2"/>
  <c r="AG1263" i="2"/>
  <c r="AE1273" i="2"/>
  <c r="AF1276" i="2"/>
  <c r="AG1279" i="2"/>
  <c r="AE1289" i="2"/>
  <c r="AF1292" i="2"/>
  <c r="AG1295" i="2"/>
  <c r="AD1302" i="2"/>
  <c r="AE1305" i="2"/>
  <c r="AG1244" i="2"/>
  <c r="AF1257" i="2"/>
  <c r="AG1260" i="2"/>
  <c r="AD1267" i="2"/>
  <c r="AF1273" i="2"/>
  <c r="AG1276" i="2"/>
  <c r="AD1283" i="2"/>
  <c r="AF1289" i="2"/>
  <c r="AG1292" i="2"/>
  <c r="AD1299" i="2"/>
  <c r="AE1302" i="2"/>
  <c r="AD1296" i="2"/>
  <c r="W85" i="2" l="1"/>
  <c r="X376" i="2"/>
  <c r="V94" i="2"/>
  <c r="X94" i="2"/>
  <c r="V84" i="2"/>
  <c r="W84" i="2"/>
  <c r="W491" i="2"/>
  <c r="X491" i="2" s="1"/>
  <c r="W48" i="2"/>
  <c r="V48" i="2"/>
  <c r="V1299" i="2"/>
  <c r="X1299" i="2"/>
  <c r="V172" i="2"/>
  <c r="W172" i="2"/>
  <c r="V47" i="2"/>
  <c r="X47" i="2"/>
  <c r="W548" i="2"/>
  <c r="X548" i="2" s="1"/>
  <c r="W732" i="2"/>
  <c r="X732" i="2" s="1"/>
  <c r="X170" i="2"/>
  <c r="W31" i="2"/>
  <c r="X31" i="2" s="1"/>
  <c r="V1080" i="2"/>
  <c r="W1002" i="2"/>
  <c r="X1002" i="2" s="1"/>
  <c r="X87" i="2"/>
  <c r="X35" i="2"/>
  <c r="X604" i="2"/>
  <c r="W35" i="2"/>
  <c r="W1279" i="2"/>
  <c r="X1279" i="2"/>
  <c r="W280" i="2"/>
  <c r="X280" i="2" s="1"/>
  <c r="W87" i="2"/>
  <c r="W390" i="2"/>
  <c r="X390" i="2" s="1"/>
  <c r="W1085" i="2"/>
  <c r="X1085" i="2" s="1"/>
  <c r="X873" i="2"/>
  <c r="W627" i="2"/>
  <c r="X627" i="2" s="1"/>
  <c r="AI985" i="2"/>
  <c r="AJ985" i="2" s="1"/>
  <c r="AK985" i="2" s="1"/>
  <c r="AL985" i="2" s="1"/>
  <c r="AN985" i="2" s="1"/>
  <c r="W1093" i="2"/>
  <c r="X233" i="2"/>
  <c r="W980" i="2"/>
  <c r="W886" i="2"/>
  <c r="X886" i="2" s="1"/>
  <c r="X143" i="2"/>
  <c r="AI827" i="2"/>
  <c r="W1288" i="2"/>
  <c r="X1288" i="2" s="1"/>
  <c r="V1092" i="2"/>
  <c r="V1040" i="2"/>
  <c r="W1040" i="2"/>
  <c r="W384" i="2"/>
  <c r="X384" i="2" s="1"/>
  <c r="AI32" i="2"/>
  <c r="AJ32" i="2" s="1"/>
  <c r="AK32" i="2" s="1"/>
  <c r="AL32" i="2" s="1"/>
  <c r="AN32" i="2" s="1"/>
  <c r="W935" i="2"/>
  <c r="X935" i="2" s="1"/>
  <c r="AI155" i="2"/>
  <c r="AJ155" i="2" s="1"/>
  <c r="AK155" i="2" s="1"/>
  <c r="AL155" i="2" s="1"/>
  <c r="AM155" i="2" s="1"/>
  <c r="AN155" i="2" s="1"/>
  <c r="W773" i="2"/>
  <c r="X773" i="2" s="1"/>
  <c r="W1001" i="2"/>
  <c r="X1001" i="2" s="1"/>
  <c r="AI1240" i="2"/>
  <c r="AJ1240" i="2" s="1"/>
  <c r="AK1240" i="2" s="1"/>
  <c r="AL1240" i="2" s="1"/>
  <c r="AN1240" i="2" s="1"/>
  <c r="V95" i="2"/>
  <c r="W95" i="2" s="1"/>
  <c r="X95" i="2" s="1"/>
  <c r="W1030" i="2"/>
  <c r="X1030" i="2" s="1"/>
  <c r="W421" i="2"/>
  <c r="X421" i="2" s="1"/>
  <c r="W190" i="2"/>
  <c r="X190" i="2" s="1"/>
  <c r="W12" i="2"/>
  <c r="X12" i="2" s="1"/>
  <c r="AI243" i="2"/>
  <c r="W839" i="2"/>
  <c r="X839" i="2" s="1"/>
  <c r="X810" i="2"/>
  <c r="AI127" i="2"/>
  <c r="AJ127" i="2" s="1"/>
  <c r="AK127" i="2" s="1"/>
  <c r="AL127" i="2" s="1"/>
  <c r="AN127" i="2" s="1"/>
  <c r="AI1194" i="2"/>
  <c r="AJ1194" i="2" s="1"/>
  <c r="AK1194" i="2" s="1"/>
  <c r="AL1194" i="2" s="1"/>
  <c r="V597" i="2"/>
  <c r="W597" i="2" s="1"/>
  <c r="X597" i="2" s="1"/>
  <c r="X1082" i="2"/>
  <c r="AI854" i="2"/>
  <c r="AJ854" i="2" s="1"/>
  <c r="AK854" i="2" s="1"/>
  <c r="AL854" i="2" s="1"/>
  <c r="AN854" i="2" s="1"/>
  <c r="W1235" i="2"/>
  <c r="X1235" i="2" s="1"/>
  <c r="W1148" i="2"/>
  <c r="X1148" i="2" s="1"/>
  <c r="W383" i="2"/>
  <c r="X383" i="2" s="1"/>
  <c r="AI1207" i="2"/>
  <c r="AJ1207" i="2" s="1"/>
  <c r="AK1207" i="2" s="1"/>
  <c r="AL1207" i="2" s="1"/>
  <c r="AM1207" i="2" s="1"/>
  <c r="AN1207" i="2" s="1"/>
  <c r="W610" i="2"/>
  <c r="X610" i="2" s="1"/>
  <c r="AI84" i="2"/>
  <c r="AJ84" i="2" s="1"/>
  <c r="AK84" i="2" s="1"/>
  <c r="AL84" i="2" s="1"/>
  <c r="AN84" i="2" s="1"/>
  <c r="W186" i="2"/>
  <c r="X186" i="2" s="1"/>
  <c r="W841" i="2"/>
  <c r="X841" i="2" s="1"/>
  <c r="W111" i="2"/>
  <c r="X111" i="2" s="1"/>
  <c r="AI1267" i="2"/>
  <c r="AJ1267" i="2" s="1"/>
  <c r="AK1267" i="2" s="1"/>
  <c r="AL1267" i="2" s="1"/>
  <c r="AN1267" i="2" s="1"/>
  <c r="W709" i="2"/>
  <c r="X709" i="2" s="1"/>
  <c r="V371" i="2"/>
  <c r="W371" i="2" s="1"/>
  <c r="X371" i="2" s="1"/>
  <c r="W1092" i="2"/>
  <c r="W764" i="2"/>
  <c r="X764" i="2" s="1"/>
  <c r="AI150" i="2"/>
  <c r="AJ150" i="2" s="1"/>
  <c r="AK150" i="2" s="1"/>
  <c r="AL150" i="2" s="1"/>
  <c r="W170" i="2"/>
  <c r="W1080" i="2"/>
  <c r="W957" i="2"/>
  <c r="X957" i="2" s="1"/>
  <c r="AI849" i="2"/>
  <c r="AJ849" i="2" s="1"/>
  <c r="AK849" i="2" s="1"/>
  <c r="AL849" i="2" s="1"/>
  <c r="AN849" i="2" s="1"/>
  <c r="V96" i="2"/>
  <c r="W183" i="2"/>
  <c r="X169" i="2"/>
  <c r="W1236" i="2"/>
  <c r="V128" i="2"/>
  <c r="W128" i="2" s="1"/>
  <c r="X128" i="2" s="1"/>
  <c r="AI991" i="2"/>
  <c r="W279" i="2"/>
  <c r="X279" i="2" s="1"/>
  <c r="AI16" i="2"/>
  <c r="AJ16" i="2" s="1"/>
  <c r="AK16" i="2" s="1"/>
  <c r="AL16" i="2" s="1"/>
  <c r="AN16" i="2" s="1"/>
  <c r="W82" i="2"/>
  <c r="AI389" i="2"/>
  <c r="AJ389" i="2" s="1"/>
  <c r="X82" i="2"/>
  <c r="W965" i="2"/>
  <c r="X965" i="2" s="1"/>
  <c r="AI153" i="2"/>
  <c r="AJ153" i="2" s="1"/>
  <c r="AK153" i="2" s="1"/>
  <c r="AL153" i="2" s="1"/>
  <c r="AM153" i="2" s="1"/>
  <c r="AN153" i="2" s="1"/>
  <c r="AI1178" i="2"/>
  <c r="AJ1178" i="2" s="1"/>
  <c r="W606" i="2"/>
  <c r="X606" i="2" s="1"/>
  <c r="V85" i="2"/>
  <c r="AI856" i="2"/>
  <c r="AJ856" i="2" s="1"/>
  <c r="AK856" i="2" s="1"/>
  <c r="AL856" i="2" s="1"/>
  <c r="W1010" i="2"/>
  <c r="X1010" i="2" s="1"/>
  <c r="AI577" i="2"/>
  <c r="AJ577" i="2" s="1"/>
  <c r="AK577" i="2" s="1"/>
  <c r="AL577" i="2" s="1"/>
  <c r="AN577" i="2" s="1"/>
  <c r="W678" i="2"/>
  <c r="X678" i="2" s="1"/>
  <c r="AI132" i="2"/>
  <c r="W742" i="2"/>
  <c r="X742" i="2" s="1"/>
  <c r="W743" i="2"/>
  <c r="X743" i="2" s="1"/>
  <c r="W228" i="2"/>
  <c r="X228" i="2" s="1"/>
  <c r="AI970" i="2"/>
  <c r="AJ970" i="2" s="1"/>
  <c r="AK970" i="2" s="1"/>
  <c r="AL970" i="2" s="1"/>
  <c r="AN970" i="2" s="1"/>
  <c r="V872" i="2"/>
  <c r="W872" i="2" s="1"/>
  <c r="X872" i="2" s="1"/>
  <c r="W1283" i="2"/>
  <c r="X1283" i="2" s="1"/>
  <c r="W1214" i="2"/>
  <c r="X1214" i="2" s="1"/>
  <c r="W941" i="2"/>
  <c r="X941" i="2" s="1"/>
  <c r="W794" i="2"/>
  <c r="X794" i="2" s="1"/>
  <c r="V1236" i="2"/>
  <c r="AI844" i="2"/>
  <c r="AJ844" i="2" s="1"/>
  <c r="AK844" i="2" s="1"/>
  <c r="AL844" i="2" s="1"/>
  <c r="AN844" i="2" s="1"/>
  <c r="W998" i="2"/>
  <c r="X998" i="2" s="1"/>
  <c r="W1032" i="2"/>
  <c r="X1032" i="2" s="1"/>
  <c r="X340" i="2"/>
  <c r="V169" i="2"/>
  <c r="AI1114" i="2"/>
  <c r="W1197" i="2"/>
  <c r="X1197" i="2" s="1"/>
  <c r="AI1143" i="2"/>
  <c r="AJ1143" i="2" s="1"/>
  <c r="AK1143" i="2" s="1"/>
  <c r="AL1143" i="2" s="1"/>
  <c r="W745" i="2"/>
  <c r="X745" i="2" s="1"/>
  <c r="AI418" i="2"/>
  <c r="AJ418" i="2" s="1"/>
  <c r="AK418" i="2" s="1"/>
  <c r="AL418" i="2" s="1"/>
  <c r="AN418" i="2" s="1"/>
  <c r="W96" i="2"/>
  <c r="AI1146" i="2"/>
  <c r="AJ1146" i="2" s="1"/>
  <c r="AK1146" i="2" s="1"/>
  <c r="AL1146" i="2" s="1"/>
  <c r="AM1146" i="2" s="1"/>
  <c r="AN1146" i="2" s="1"/>
  <c r="AI1232" i="2"/>
  <c r="AJ1232" i="2" s="1"/>
  <c r="AK1232" i="2" s="1"/>
  <c r="AL1232" i="2" s="1"/>
  <c r="AN1232" i="2" s="1"/>
  <c r="V159" i="2"/>
  <c r="W159" i="2" s="1"/>
  <c r="X159" i="2" s="1"/>
  <c r="AI1172" i="2"/>
  <c r="AJ1172" i="2" s="1"/>
  <c r="AI933" i="2"/>
  <c r="AJ933" i="2" s="1"/>
  <c r="W834" i="2"/>
  <c r="X834" i="2" s="1"/>
  <c r="W143" i="2"/>
  <c r="X1284" i="2"/>
  <c r="AI368" i="2"/>
  <c r="AJ368" i="2" s="1"/>
  <c r="AI171" i="2"/>
  <c r="AI405" i="2"/>
  <c r="AJ405" i="2" s="1"/>
  <c r="AK405" i="2" s="1"/>
  <c r="AL405" i="2" s="1"/>
  <c r="AN405" i="2" s="1"/>
  <c r="W1278" i="2"/>
  <c r="X1278" i="2" s="1"/>
  <c r="W805" i="2"/>
  <c r="X805" i="2" s="1"/>
  <c r="AI484" i="2"/>
  <c r="AI174" i="2"/>
  <c r="AJ174" i="2" s="1"/>
  <c r="AK174" i="2" s="1"/>
  <c r="AL174" i="2" s="1"/>
  <c r="AN174" i="2" s="1"/>
  <c r="W780" i="2"/>
  <c r="X780" i="2" s="1"/>
  <c r="W158" i="2"/>
  <c r="X158" i="2" s="1"/>
  <c r="AI1011" i="2"/>
  <c r="AJ1011" i="2" s="1"/>
  <c r="AK1011" i="2" s="1"/>
  <c r="AL1011" i="2" s="1"/>
  <c r="AN1011" i="2" s="1"/>
  <c r="W777" i="2"/>
  <c r="X777" i="2" s="1"/>
  <c r="AI496" i="2"/>
  <c r="AJ496" i="2" s="1"/>
  <c r="AK496" i="2" s="1"/>
  <c r="AL496" i="2" s="1"/>
  <c r="AN496" i="2" s="1"/>
  <c r="AI517" i="2"/>
  <c r="W830" i="2"/>
  <c r="X830" i="2" s="1"/>
  <c r="W758" i="2"/>
  <c r="X758" i="2" s="1"/>
  <c r="W532" i="2"/>
  <c r="X532" i="2" s="1"/>
  <c r="AI1278" i="2"/>
  <c r="AI1273" i="2"/>
  <c r="AI777" i="2"/>
  <c r="AI147" i="2"/>
  <c r="AI743" i="2"/>
  <c r="AI734" i="2"/>
  <c r="AJ734" i="2" s="1"/>
  <c r="AK734" i="2" s="1"/>
  <c r="AL734" i="2" s="1"/>
  <c r="AN734" i="2" s="1"/>
  <c r="W320" i="2"/>
  <c r="X320" i="2" s="1"/>
  <c r="AI672" i="2"/>
  <c r="AJ672" i="2" s="1"/>
  <c r="AI430" i="2"/>
  <c r="AJ430" i="2" s="1"/>
  <c r="W484" i="2"/>
  <c r="X484" i="2" s="1"/>
  <c r="AI327" i="2"/>
  <c r="AJ327" i="2" s="1"/>
  <c r="AK327" i="2" s="1"/>
  <c r="AL327" i="2" s="1"/>
  <c r="AN327" i="2" s="1"/>
  <c r="AI1095" i="2"/>
  <c r="AJ1095" i="2" s="1"/>
  <c r="AK1095" i="2" s="1"/>
  <c r="AL1095" i="2" s="1"/>
  <c r="AN1095" i="2" s="1"/>
  <c r="AI936" i="2"/>
  <c r="AJ936" i="2" s="1"/>
  <c r="W533" i="2"/>
  <c r="X533" i="2" s="1"/>
  <c r="AI395" i="2"/>
  <c r="AJ395" i="2" s="1"/>
  <c r="W439" i="2"/>
  <c r="X439" i="2" s="1"/>
  <c r="V147" i="2"/>
  <c r="W147" i="2" s="1"/>
  <c r="X147" i="2" s="1"/>
  <c r="AI237" i="2"/>
  <c r="AI109" i="2"/>
  <c r="AJ109" i="2" s="1"/>
  <c r="AK109" i="2" s="1"/>
  <c r="AL109" i="2" s="1"/>
  <c r="AN109" i="2" s="1"/>
  <c r="W171" i="2"/>
  <c r="V541" i="2"/>
  <c r="W541" i="2" s="1"/>
  <c r="X541" i="2" s="1"/>
  <c r="AI750" i="2"/>
  <c r="AJ750" i="2" s="1"/>
  <c r="AK750" i="2" s="1"/>
  <c r="AL750" i="2" s="1"/>
  <c r="AN750" i="2" s="1"/>
  <c r="AI106" i="2"/>
  <c r="AJ106" i="2" s="1"/>
  <c r="AK106" i="2" s="1"/>
  <c r="AL106" i="2" s="1"/>
  <c r="AN106" i="2" s="1"/>
  <c r="AI1235" i="2"/>
  <c r="AI1038" i="2"/>
  <c r="AI1281" i="2"/>
  <c r="AI1218" i="2"/>
  <c r="AJ1218" i="2" s="1"/>
  <c r="AK1218" i="2" s="1"/>
  <c r="AL1218" i="2" s="1"/>
  <c r="AN1218" i="2" s="1"/>
  <c r="W1050" i="2"/>
  <c r="X1050" i="2" s="1"/>
  <c r="AI214" i="2"/>
  <c r="AI796" i="2"/>
  <c r="AJ796" i="2" s="1"/>
  <c r="AK796" i="2" s="1"/>
  <c r="AL796" i="2" s="1"/>
  <c r="AN796" i="2" s="1"/>
  <c r="AI654" i="2"/>
  <c r="AJ654" i="2" s="1"/>
  <c r="AK654" i="2" s="1"/>
  <c r="AL654" i="2" s="1"/>
  <c r="AN654" i="2" s="1"/>
  <c r="AI279" i="2"/>
  <c r="V730" i="2"/>
  <c r="W730" i="2" s="1"/>
  <c r="X730" i="2" s="1"/>
  <c r="AI1261" i="2"/>
  <c r="AJ1261" i="2" s="1"/>
  <c r="AK1261" i="2" s="1"/>
  <c r="AL1261" i="2" s="1"/>
  <c r="AN1261" i="2" s="1"/>
  <c r="AI793" i="2"/>
  <c r="AJ793" i="2" s="1"/>
  <c r="AK793" i="2" s="1"/>
  <c r="AL793" i="2" s="1"/>
  <c r="AN793" i="2" s="1"/>
  <c r="W920" i="2"/>
  <c r="X920" i="2" s="1"/>
  <c r="AI470" i="2"/>
  <c r="AJ470" i="2" s="1"/>
  <c r="AK470" i="2" s="1"/>
  <c r="AL470" i="2" s="1"/>
  <c r="AN470" i="2" s="1"/>
  <c r="AI921" i="2"/>
  <c r="AJ921" i="2" s="1"/>
  <c r="AK921" i="2" s="1"/>
  <c r="AL921" i="2" s="1"/>
  <c r="AN921" i="2" s="1"/>
  <c r="AI140" i="2"/>
  <c r="AJ140" i="2" s="1"/>
  <c r="AI761" i="2"/>
  <c r="AJ761" i="2" s="1"/>
  <c r="AK761" i="2" s="1"/>
  <c r="AL761" i="2" s="1"/>
  <c r="AN761" i="2" s="1"/>
  <c r="V714" i="2"/>
  <c r="W714" i="2" s="1"/>
  <c r="X714" i="2" s="1"/>
  <c r="AI1065" i="2"/>
  <c r="AJ1065" i="2" s="1"/>
  <c r="AK1065" i="2" s="1"/>
  <c r="AL1065" i="2" s="1"/>
  <c r="AN1065" i="2" s="1"/>
  <c r="W601" i="2"/>
  <c r="X601" i="2" s="1"/>
  <c r="AI227" i="2"/>
  <c r="AJ227" i="2" s="1"/>
  <c r="AK227" i="2" s="1"/>
  <c r="AL227" i="2" s="1"/>
  <c r="W916" i="2"/>
  <c r="X916" i="2" s="1"/>
  <c r="AI994" i="2"/>
  <c r="AJ994" i="2" s="1"/>
  <c r="AI518" i="2"/>
  <c r="AJ518" i="2" s="1"/>
  <c r="AK518" i="2" s="1"/>
  <c r="AL518" i="2" s="1"/>
  <c r="AN518" i="2" s="1"/>
  <c r="AI516" i="2"/>
  <c r="AI1277" i="2"/>
  <c r="AI651" i="2"/>
  <c r="AJ651" i="2" s="1"/>
  <c r="AK651" i="2" s="1"/>
  <c r="AL651" i="2" s="1"/>
  <c r="AN651" i="2" s="1"/>
  <c r="AI509" i="2"/>
  <c r="AJ509" i="2" s="1"/>
  <c r="AK509" i="2" s="1"/>
  <c r="AL509" i="2" s="1"/>
  <c r="AN509" i="2" s="1"/>
  <c r="AI384" i="2"/>
  <c r="AI959" i="2"/>
  <c r="AJ959" i="2" s="1"/>
  <c r="AK959" i="2" s="1"/>
  <c r="AL959" i="2" s="1"/>
  <c r="AN959" i="2" s="1"/>
  <c r="AI859" i="2"/>
  <c r="AJ859" i="2" s="1"/>
  <c r="AK859" i="2" s="1"/>
  <c r="AL859" i="2" s="1"/>
  <c r="AN859" i="2" s="1"/>
  <c r="AI652" i="2"/>
  <c r="AJ652" i="2" s="1"/>
  <c r="AK652" i="2" s="1"/>
  <c r="AL652" i="2" s="1"/>
  <c r="AN652" i="2" s="1"/>
  <c r="AI332" i="2"/>
  <c r="AJ332" i="2" s="1"/>
  <c r="AK332" i="2" s="1"/>
  <c r="AL332" i="2" s="1"/>
  <c r="AN332" i="2" s="1"/>
  <c r="AI272" i="2"/>
  <c r="AJ272" i="2" s="1"/>
  <c r="AI141" i="2"/>
  <c r="AI48" i="2"/>
  <c r="AJ48" i="2" s="1"/>
  <c r="AK48" i="2" s="1"/>
  <c r="AL48" i="2" s="1"/>
  <c r="AN48" i="2" s="1"/>
  <c r="AI619" i="2"/>
  <c r="AI436" i="2"/>
  <c r="AJ436" i="2" s="1"/>
  <c r="AK436" i="2" s="1"/>
  <c r="AL436" i="2" s="1"/>
  <c r="AN436" i="2" s="1"/>
  <c r="AI400" i="2"/>
  <c r="AJ400" i="2" s="1"/>
  <c r="AI1248" i="2"/>
  <c r="AJ1248" i="2" s="1"/>
  <c r="AK1248" i="2" s="1"/>
  <c r="AL1248" i="2" s="1"/>
  <c r="AN1248" i="2" s="1"/>
  <c r="AI1014" i="2"/>
  <c r="AJ1014" i="2" s="1"/>
  <c r="AK1014" i="2" s="1"/>
  <c r="AL1014" i="2" s="1"/>
  <c r="AN1014" i="2" s="1"/>
  <c r="AI901" i="2"/>
  <c r="AJ901" i="2" s="1"/>
  <c r="AK901" i="2" s="1"/>
  <c r="AL901" i="2" s="1"/>
  <c r="AN901" i="2" s="1"/>
  <c r="W997" i="2"/>
  <c r="X997" i="2" s="1"/>
  <c r="AI809" i="2"/>
  <c r="AJ809" i="2" s="1"/>
  <c r="AK809" i="2" s="1"/>
  <c r="AL809" i="2" s="1"/>
  <c r="AN809" i="2" s="1"/>
  <c r="AI85" i="2"/>
  <c r="AJ85" i="2" s="1"/>
  <c r="AK85" i="2" s="1"/>
  <c r="AL85" i="2" s="1"/>
  <c r="AN85" i="2" s="1"/>
  <c r="AI179" i="2"/>
  <c r="AJ179" i="2" s="1"/>
  <c r="AK179" i="2" s="1"/>
  <c r="AL179" i="2" s="1"/>
  <c r="AN179" i="2" s="1"/>
  <c r="AI124" i="2"/>
  <c r="AJ124" i="2" s="1"/>
  <c r="AK124" i="2" s="1"/>
  <c r="AL124" i="2" s="1"/>
  <c r="AM124" i="2" s="1"/>
  <c r="AN124" i="2" s="1"/>
  <c r="X529" i="2"/>
  <c r="AI1121" i="2"/>
  <c r="AJ1121" i="2" s="1"/>
  <c r="AK1121" i="2" s="1"/>
  <c r="AL1121" i="2" s="1"/>
  <c r="AN1121" i="2" s="1"/>
  <c r="AI716" i="2"/>
  <c r="AJ716" i="2" s="1"/>
  <c r="AK716" i="2" s="1"/>
  <c r="AL716" i="2" s="1"/>
  <c r="AN716" i="2" s="1"/>
  <c r="AI314" i="2"/>
  <c r="AJ314" i="2" s="1"/>
  <c r="AK314" i="2" s="1"/>
  <c r="AL314" i="2" s="1"/>
  <c r="AN314" i="2" s="1"/>
  <c r="AI630" i="2"/>
  <c r="AJ630" i="2" s="1"/>
  <c r="AK630" i="2" s="1"/>
  <c r="AL630" i="2" s="1"/>
  <c r="AN630" i="2" s="1"/>
  <c r="AI580" i="2"/>
  <c r="AJ580" i="2" s="1"/>
  <c r="AK580" i="2" s="1"/>
  <c r="AL580" i="2" s="1"/>
  <c r="AN580" i="2" s="1"/>
  <c r="W78" i="2"/>
  <c r="X78" i="2" s="1"/>
  <c r="AI623" i="2"/>
  <c r="AI1040" i="2"/>
  <c r="AJ1040" i="2" s="1"/>
  <c r="AK1040" i="2" s="1"/>
  <c r="AL1040" i="2" s="1"/>
  <c r="AN1040" i="2" s="1"/>
  <c r="AI875" i="2"/>
  <c r="AI610" i="2"/>
  <c r="AI485" i="2"/>
  <c r="AI317" i="2"/>
  <c r="AJ317" i="2" s="1"/>
  <c r="AK317" i="2" s="1"/>
  <c r="AL317" i="2" s="1"/>
  <c r="AM317" i="2" s="1"/>
  <c r="AN317" i="2" s="1"/>
  <c r="AI1283" i="2"/>
  <c r="AI1295" i="2"/>
  <c r="AJ1295" i="2" s="1"/>
  <c r="AK1295" i="2" s="1"/>
  <c r="AL1295" i="2" s="1"/>
  <c r="AN1295" i="2" s="1"/>
  <c r="AI1199" i="2"/>
  <c r="AJ1199" i="2" s="1"/>
  <c r="AK1199" i="2" s="1"/>
  <c r="AL1199" i="2" s="1"/>
  <c r="AN1199" i="2" s="1"/>
  <c r="AI1137" i="2"/>
  <c r="AJ1137" i="2" s="1"/>
  <c r="AK1137" i="2" s="1"/>
  <c r="AL1137" i="2" s="1"/>
  <c r="AN1137" i="2" s="1"/>
  <c r="AI812" i="2"/>
  <c r="AI737" i="2"/>
  <c r="AJ737" i="2" s="1"/>
  <c r="AK737" i="2" s="1"/>
  <c r="AL737" i="2" s="1"/>
  <c r="AN737" i="2" s="1"/>
  <c r="W697" i="2"/>
  <c r="X697" i="2" s="1"/>
  <c r="W635" i="2"/>
  <c r="X635" i="2" s="1"/>
  <c r="AI290" i="2"/>
  <c r="AJ290" i="2" s="1"/>
  <c r="AK290" i="2" s="1"/>
  <c r="AL290" i="2" s="1"/>
  <c r="AN290" i="2" s="1"/>
  <c r="W242" i="2"/>
  <c r="X242" i="2" s="1"/>
  <c r="AI1293" i="2"/>
  <c r="AJ1293" i="2" s="1"/>
  <c r="AK1293" i="2" s="1"/>
  <c r="AL1293" i="2" s="1"/>
  <c r="AN1293" i="2" s="1"/>
  <c r="AI954" i="2"/>
  <c r="AI648" i="2"/>
  <c r="AJ648" i="2" s="1"/>
  <c r="AK648" i="2" s="1"/>
  <c r="AL648" i="2" s="1"/>
  <c r="AN648" i="2" s="1"/>
  <c r="AI166" i="2"/>
  <c r="AJ166" i="2" s="1"/>
  <c r="AK166" i="2" s="1"/>
  <c r="AL166" i="2" s="1"/>
  <c r="AN166" i="2" s="1"/>
  <c r="W1118" i="2"/>
  <c r="X1118" i="2" s="1"/>
  <c r="W1151" i="2"/>
  <c r="X1151" i="2" s="1"/>
  <c r="AI564" i="2"/>
  <c r="AI136" i="2"/>
  <c r="AI1001" i="2"/>
  <c r="AI454" i="2"/>
  <c r="AJ454" i="2" s="1"/>
  <c r="AK454" i="2" s="1"/>
  <c r="AL454" i="2" s="1"/>
  <c r="AN454" i="2" s="1"/>
  <c r="AI746" i="2"/>
  <c r="AJ746" i="2" s="1"/>
  <c r="AK746" i="2" s="1"/>
  <c r="AL746" i="2" s="1"/>
  <c r="AN746" i="2" s="1"/>
  <c r="AI192" i="2"/>
  <c r="AJ192" i="2" s="1"/>
  <c r="AI99" i="2"/>
  <c r="AJ99" i="2" s="1"/>
  <c r="AI574" i="2"/>
  <c r="AJ574" i="2" s="1"/>
  <c r="AK574" i="2" s="1"/>
  <c r="AL574" i="2" s="1"/>
  <c r="AN574" i="2" s="1"/>
  <c r="AI280" i="2"/>
  <c r="AI468" i="2"/>
  <c r="AJ468" i="2" s="1"/>
  <c r="AK468" i="2" s="1"/>
  <c r="AL468" i="2" s="1"/>
  <c r="AN468" i="2" s="1"/>
  <c r="AI259" i="2"/>
  <c r="AJ259" i="2" s="1"/>
  <c r="AK259" i="2" s="1"/>
  <c r="AL259" i="2" s="1"/>
  <c r="AM259" i="2" s="1"/>
  <c r="AN259" i="2" s="1"/>
  <c r="AI195" i="2"/>
  <c r="AJ195" i="2" s="1"/>
  <c r="AI1079" i="2"/>
  <c r="AJ1079" i="2" s="1"/>
  <c r="AK1079" i="2" s="1"/>
  <c r="AL1079" i="2" s="1"/>
  <c r="AN1079" i="2" s="1"/>
  <c r="AI512" i="2"/>
  <c r="AJ512" i="2" s="1"/>
  <c r="AK512" i="2" s="1"/>
  <c r="AL512" i="2" s="1"/>
  <c r="AN512" i="2" s="1"/>
  <c r="W832" i="2"/>
  <c r="X832" i="2" s="1"/>
  <c r="AI535" i="2"/>
  <c r="W289" i="2"/>
  <c r="X289" i="2" s="1"/>
  <c r="W41" i="2"/>
  <c r="X41" i="2" s="1"/>
  <c r="V1301" i="2"/>
  <c r="W1301" i="2" s="1"/>
  <c r="X1301" i="2" s="1"/>
  <c r="V1017" i="2"/>
  <c r="W1017" i="2" s="1"/>
  <c r="X1017" i="2" s="1"/>
  <c r="V870" i="2"/>
  <c r="W870" i="2" s="1"/>
  <c r="X870" i="2" s="1"/>
  <c r="W296" i="2"/>
  <c r="X296" i="2" s="1"/>
  <c r="AI222" i="2"/>
  <c r="AJ222" i="2" s="1"/>
  <c r="AK222" i="2" s="1"/>
  <c r="AL222" i="2" s="1"/>
  <c r="AM222" i="2" s="1"/>
  <c r="AN222" i="2" s="1"/>
  <c r="AI932" i="2"/>
  <c r="AJ932" i="2" s="1"/>
  <c r="AI702" i="2"/>
  <c r="AJ702" i="2" s="1"/>
  <c r="AI691" i="2"/>
  <c r="AI576" i="2"/>
  <c r="AJ576" i="2" s="1"/>
  <c r="AK576" i="2" s="1"/>
  <c r="AL576" i="2" s="1"/>
  <c r="AN576" i="2" s="1"/>
  <c r="AI532" i="2"/>
  <c r="AI450" i="2"/>
  <c r="AJ450" i="2" s="1"/>
  <c r="AK450" i="2" s="1"/>
  <c r="AL450" i="2" s="1"/>
  <c r="AN450" i="2" s="1"/>
  <c r="AI211" i="2"/>
  <c r="AJ211" i="2" s="1"/>
  <c r="AK211" i="2" s="1"/>
  <c r="AL211" i="2" s="1"/>
  <c r="AM211" i="2" s="1"/>
  <c r="AN211" i="2" s="1"/>
  <c r="AI172" i="2"/>
  <c r="AJ172" i="2" s="1"/>
  <c r="AK172" i="2" s="1"/>
  <c r="AL172" i="2" s="1"/>
  <c r="AN172" i="2" s="1"/>
  <c r="AI1229" i="2"/>
  <c r="V619" i="2"/>
  <c r="W619" i="2" s="1"/>
  <c r="X619" i="2" s="1"/>
  <c r="W562" i="2"/>
  <c r="X562" i="2" s="1"/>
  <c r="AI275" i="2"/>
  <c r="AJ275" i="2" s="1"/>
  <c r="AI533" i="2"/>
  <c r="AI493" i="2"/>
  <c r="AJ493" i="2" s="1"/>
  <c r="AK493" i="2" s="1"/>
  <c r="AL493" i="2" s="1"/>
  <c r="AN493" i="2" s="1"/>
  <c r="AI522" i="2"/>
  <c r="AJ522" i="2" s="1"/>
  <c r="AK522" i="2" s="1"/>
  <c r="AL522" i="2" s="1"/>
  <c r="AN522" i="2" s="1"/>
  <c r="AI810" i="2"/>
  <c r="AI113" i="2"/>
  <c r="AJ113" i="2" s="1"/>
  <c r="AK113" i="2" s="1"/>
  <c r="AL113" i="2" s="1"/>
  <c r="AN113" i="2" s="1"/>
  <c r="AI228" i="2"/>
  <c r="V204" i="2"/>
  <c r="W204" i="2" s="1"/>
  <c r="X204" i="2" s="1"/>
  <c r="AI64" i="2"/>
  <c r="AJ64" i="2" s="1"/>
  <c r="AK64" i="2" s="1"/>
  <c r="AL64" i="2" s="1"/>
  <c r="AN64" i="2" s="1"/>
  <c r="AI1181" i="2"/>
  <c r="V696" i="2"/>
  <c r="W696" i="2" s="1"/>
  <c r="X696" i="2" s="1"/>
  <c r="AI264" i="2"/>
  <c r="AJ264" i="2" s="1"/>
  <c r="AK264" i="2" s="1"/>
  <c r="AL264" i="2" s="1"/>
  <c r="AN264" i="2" s="1"/>
  <c r="AI291" i="2"/>
  <c r="AJ291" i="2" s="1"/>
  <c r="AK291" i="2" s="1"/>
  <c r="AL291" i="2" s="1"/>
  <c r="AN291" i="2" s="1"/>
  <c r="AI1266" i="2"/>
  <c r="AI1186" i="2"/>
  <c r="AJ1186" i="2" s="1"/>
  <c r="AK1186" i="2" s="1"/>
  <c r="AL1186" i="2" s="1"/>
  <c r="AN1186" i="2" s="1"/>
  <c r="AI1245" i="2"/>
  <c r="AI1179" i="2"/>
  <c r="AJ1179" i="2" s="1"/>
  <c r="W1127" i="2"/>
  <c r="X1127" i="2" s="1"/>
  <c r="AI1044" i="2"/>
  <c r="AJ1044" i="2" s="1"/>
  <c r="AK1044" i="2" s="1"/>
  <c r="AL1044" i="2" s="1"/>
  <c r="AN1044" i="2" s="1"/>
  <c r="AI956" i="2"/>
  <c r="AJ956" i="2" s="1"/>
  <c r="AK956" i="2" s="1"/>
  <c r="AL956" i="2" s="1"/>
  <c r="AN956" i="2" s="1"/>
  <c r="W906" i="2"/>
  <c r="X906" i="2" s="1"/>
  <c r="W703" i="2"/>
  <c r="X703" i="2" s="1"/>
  <c r="W602" i="2"/>
  <c r="X602" i="2" s="1"/>
  <c r="AI718" i="2"/>
  <c r="AJ718" i="2" s="1"/>
  <c r="AK718" i="2" s="1"/>
  <c r="AL718" i="2" s="1"/>
  <c r="AN718" i="2" s="1"/>
  <c r="V1038" i="2"/>
  <c r="W1038" i="2" s="1"/>
  <c r="X1038" i="2" s="1"/>
  <c r="AI1259" i="2"/>
  <c r="AJ1259" i="2" s="1"/>
  <c r="AK1259" i="2" s="1"/>
  <c r="AL1259" i="2" s="1"/>
  <c r="AN1259" i="2" s="1"/>
  <c r="W1245" i="2"/>
  <c r="X1245" i="2" s="1"/>
  <c r="AI549" i="2"/>
  <c r="AI142" i="2"/>
  <c r="AJ142" i="2" s="1"/>
  <c r="AI22" i="2"/>
  <c r="AJ22" i="2" s="1"/>
  <c r="AK22" i="2" s="1"/>
  <c r="AL22" i="2" s="1"/>
  <c r="AN22" i="2" s="1"/>
  <c r="AI862" i="2"/>
  <c r="AJ862" i="2" s="1"/>
  <c r="AK862" i="2" s="1"/>
  <c r="AL862" i="2" s="1"/>
  <c r="AN862" i="2" s="1"/>
  <c r="W751" i="2"/>
  <c r="X751" i="2" s="1"/>
  <c r="AI501" i="2"/>
  <c r="AJ501" i="2" s="1"/>
  <c r="AK501" i="2" s="1"/>
  <c r="AL501" i="2" s="1"/>
  <c r="AN501" i="2" s="1"/>
  <c r="AI1049" i="2"/>
  <c r="AJ1049" i="2" s="1"/>
  <c r="AK1049" i="2" s="1"/>
  <c r="AL1049" i="2" s="1"/>
  <c r="AN1049" i="2" s="1"/>
  <c r="AI438" i="2"/>
  <c r="AJ438" i="2" s="1"/>
  <c r="AI370" i="2"/>
  <c r="AJ370" i="2" s="1"/>
  <c r="AI283" i="2"/>
  <c r="AJ283" i="2" s="1"/>
  <c r="AK283" i="2" s="1"/>
  <c r="AL283" i="2" s="1"/>
  <c r="AN283" i="2" s="1"/>
  <c r="V655" i="2"/>
  <c r="W655" i="2" s="1"/>
  <c r="X655" i="2" s="1"/>
  <c r="AI1204" i="2"/>
  <c r="AJ1204" i="2" s="1"/>
  <c r="AK1204" i="2" s="1"/>
  <c r="AL1204" i="2" s="1"/>
  <c r="AM1204" i="2" s="1"/>
  <c r="AN1204" i="2" s="1"/>
  <c r="V778" i="2"/>
  <c r="W778" i="2" s="1"/>
  <c r="X778" i="2" s="1"/>
  <c r="AI908" i="2"/>
  <c r="AJ908" i="2" s="1"/>
  <c r="AK908" i="2" s="1"/>
  <c r="AL908" i="2" s="1"/>
  <c r="AN908" i="2" s="1"/>
  <c r="AI872" i="2"/>
  <c r="AI706" i="2"/>
  <c r="AJ706" i="2" s="1"/>
  <c r="AK706" i="2" s="1"/>
  <c r="AL706" i="2" s="1"/>
  <c r="AN706" i="2" s="1"/>
  <c r="AI710" i="2"/>
  <c r="AJ710" i="2" s="1"/>
  <c r="AK710" i="2" s="1"/>
  <c r="AL710" i="2" s="1"/>
  <c r="AN710" i="2" s="1"/>
  <c r="AI603" i="2"/>
  <c r="AJ603" i="2" s="1"/>
  <c r="AK603" i="2" s="1"/>
  <c r="AL603" i="2" s="1"/>
  <c r="AN603" i="2" s="1"/>
  <c r="AI348" i="2"/>
  <c r="AJ348" i="2" s="1"/>
  <c r="AI1130" i="2"/>
  <c r="AJ1130" i="2" s="1"/>
  <c r="AK1130" i="2" s="1"/>
  <c r="AL1130" i="2" s="1"/>
  <c r="AN1130" i="2" s="1"/>
  <c r="AI1251" i="2"/>
  <c r="AJ1251" i="2" s="1"/>
  <c r="AK1251" i="2" s="1"/>
  <c r="AL1251" i="2" s="1"/>
  <c r="AN1251" i="2" s="1"/>
  <c r="AI373" i="2"/>
  <c r="AJ373" i="2" s="1"/>
  <c r="AI323" i="2"/>
  <c r="AJ323" i="2" s="1"/>
  <c r="AK323" i="2" s="1"/>
  <c r="AL323" i="2" s="1"/>
  <c r="W926" i="2"/>
  <c r="X926" i="2" s="1"/>
  <c r="AI1296" i="2"/>
  <c r="AJ1296" i="2" s="1"/>
  <c r="AK1296" i="2" s="1"/>
  <c r="AL1296" i="2" s="1"/>
  <c r="AN1296" i="2" s="1"/>
  <c r="AI1135" i="2"/>
  <c r="AJ1135" i="2" s="1"/>
  <c r="AK1135" i="2" s="1"/>
  <c r="AL1135" i="2" s="1"/>
  <c r="AI997" i="2"/>
  <c r="AI725" i="2"/>
  <c r="AJ725" i="2" s="1"/>
  <c r="AK725" i="2" s="1"/>
  <c r="AL725" i="2" s="1"/>
  <c r="AN725" i="2" s="1"/>
  <c r="X360" i="2"/>
  <c r="AI319" i="2"/>
  <c r="AI232" i="2"/>
  <c r="AJ232" i="2" s="1"/>
  <c r="AK232" i="2" s="1"/>
  <c r="AL232" i="2" s="1"/>
  <c r="AN232" i="2" s="1"/>
  <c r="AI217" i="2"/>
  <c r="AJ217" i="2" s="1"/>
  <c r="AK217" i="2" s="1"/>
  <c r="AL217" i="2" s="1"/>
  <c r="AI1222" i="2"/>
  <c r="AJ1222" i="2" s="1"/>
  <c r="AK1222" i="2" s="1"/>
  <c r="AL1222" i="2" s="1"/>
  <c r="AN1222" i="2" s="1"/>
  <c r="AI976" i="2"/>
  <c r="AJ976" i="2" s="1"/>
  <c r="AK976" i="2" s="1"/>
  <c r="AL976" i="2" s="1"/>
  <c r="AN976" i="2" s="1"/>
  <c r="W19" i="2"/>
  <c r="X19" i="2" s="1"/>
  <c r="AI641" i="2"/>
  <c r="AJ641" i="2" s="1"/>
  <c r="AK641" i="2" s="1"/>
  <c r="AL641" i="2" s="1"/>
  <c r="AN641" i="2" s="1"/>
  <c r="AI1301" i="2"/>
  <c r="AI1029" i="2"/>
  <c r="AJ1029" i="2" s="1"/>
  <c r="AK1029" i="2" s="1"/>
  <c r="AL1029" i="2" s="1"/>
  <c r="AN1029" i="2" s="1"/>
  <c r="AI593" i="2"/>
  <c r="AJ593" i="2" s="1"/>
  <c r="AK593" i="2" s="1"/>
  <c r="AL593" i="2" s="1"/>
  <c r="AN593" i="2" s="1"/>
  <c r="AI229" i="2"/>
  <c r="AJ229" i="2" s="1"/>
  <c r="AK229" i="2" s="1"/>
  <c r="AL229" i="2" s="1"/>
  <c r="AN229" i="2" s="1"/>
  <c r="AI204" i="2"/>
  <c r="AI838" i="2"/>
  <c r="AJ838" i="2" s="1"/>
  <c r="AK838" i="2" s="1"/>
  <c r="AL838" i="2" s="1"/>
  <c r="AN838" i="2" s="1"/>
  <c r="AI657" i="2"/>
  <c r="AJ657" i="2" s="1"/>
  <c r="AK657" i="2" s="1"/>
  <c r="AL657" i="2" s="1"/>
  <c r="AN657" i="2" s="1"/>
  <c r="AI176" i="2"/>
  <c r="AJ176" i="2" s="1"/>
  <c r="AK176" i="2" s="1"/>
  <c r="AL176" i="2" s="1"/>
  <c r="AN176" i="2" s="1"/>
  <c r="W214" i="2"/>
  <c r="X214" i="2" s="1"/>
  <c r="AI1022" i="2"/>
  <c r="AJ1022" i="2" s="1"/>
  <c r="AK1022" i="2" s="1"/>
  <c r="AL1022" i="2" s="1"/>
  <c r="AN1022" i="2" s="1"/>
  <c r="AI337" i="2"/>
  <c r="AJ337" i="2" s="1"/>
  <c r="AI1160" i="2"/>
  <c r="AJ1160" i="2" s="1"/>
  <c r="AK1160" i="2" s="1"/>
  <c r="AL1160" i="2" s="1"/>
  <c r="AN1160" i="2" s="1"/>
  <c r="AI948" i="2"/>
  <c r="AJ948" i="2" s="1"/>
  <c r="AK948" i="2" s="1"/>
  <c r="AL948" i="2" s="1"/>
  <c r="AN948" i="2" s="1"/>
  <c r="AI1257" i="2"/>
  <c r="AJ1257" i="2" s="1"/>
  <c r="AK1257" i="2" s="1"/>
  <c r="AL1257" i="2" s="1"/>
  <c r="AN1257" i="2" s="1"/>
  <c r="AI987" i="2"/>
  <c r="AJ987" i="2" s="1"/>
  <c r="AK987" i="2" s="1"/>
  <c r="AL987" i="2" s="1"/>
  <c r="AN987" i="2" s="1"/>
  <c r="AI840" i="2"/>
  <c r="AJ840" i="2" s="1"/>
  <c r="AK840" i="2" s="1"/>
  <c r="AL840" i="2" s="1"/>
  <c r="AN840" i="2" s="1"/>
  <c r="W686" i="2"/>
  <c r="X686" i="2" s="1"/>
  <c r="AI138" i="2"/>
  <c r="V1093" i="2"/>
  <c r="AI1165" i="2"/>
  <c r="AJ1165" i="2" s="1"/>
  <c r="AK1165" i="2" s="1"/>
  <c r="AL1165" i="2" s="1"/>
  <c r="AN1165" i="2" s="1"/>
  <c r="AI666" i="2"/>
  <c r="AJ666" i="2" s="1"/>
  <c r="AI870" i="2"/>
  <c r="AI490" i="2"/>
  <c r="AJ490" i="2" s="1"/>
  <c r="AK490" i="2" s="1"/>
  <c r="AL490" i="2" s="1"/>
  <c r="AN490" i="2" s="1"/>
  <c r="AI1061" i="2"/>
  <c r="AJ1061" i="2" s="1"/>
  <c r="AK1061" i="2" s="1"/>
  <c r="AL1061" i="2" s="1"/>
  <c r="AN1061" i="2" s="1"/>
  <c r="AI957" i="2"/>
  <c r="AJ1114" i="2"/>
  <c r="AK1114" i="2" s="1"/>
  <c r="AL1114" i="2" s="1"/>
  <c r="AN1114" i="2" s="1"/>
  <c r="AI865" i="2"/>
  <c r="AJ865" i="2" s="1"/>
  <c r="AK865" i="2" s="1"/>
  <c r="AL865" i="2" s="1"/>
  <c r="AM865" i="2" s="1"/>
  <c r="AN865" i="2" s="1"/>
  <c r="AI823" i="2"/>
  <c r="AI790" i="2"/>
  <c r="AI538" i="2"/>
  <c r="AJ538" i="2" s="1"/>
  <c r="AK538" i="2" s="1"/>
  <c r="AL538" i="2" s="1"/>
  <c r="AN538" i="2" s="1"/>
  <c r="AI386" i="2"/>
  <c r="AJ386" i="2" s="1"/>
  <c r="AI399" i="2"/>
  <c r="W234" i="2"/>
  <c r="X234" i="2" s="1"/>
  <c r="AI18" i="2"/>
  <c r="AJ18" i="2" s="1"/>
  <c r="AK18" i="2" s="1"/>
  <c r="AL18" i="2" s="1"/>
  <c r="AI8" i="2"/>
  <c r="AJ8" i="2" s="1"/>
  <c r="AK8" i="2" s="1"/>
  <c r="AL8" i="2" s="1"/>
  <c r="V581" i="2"/>
  <c r="W581" i="2" s="1"/>
  <c r="X581" i="2" s="1"/>
  <c r="V495" i="2"/>
  <c r="W495" i="2" s="1"/>
  <c r="X495" i="2" s="1"/>
  <c r="AI506" i="2"/>
  <c r="AJ506" i="2" s="1"/>
  <c r="AK506" i="2" s="1"/>
  <c r="AL506" i="2" s="1"/>
  <c r="AN506" i="2" s="1"/>
  <c r="V1277" i="2"/>
  <c r="W1277" i="2" s="1"/>
  <c r="X1277" i="2" s="1"/>
  <c r="AI873" i="2"/>
  <c r="V887" i="2"/>
  <c r="W887" i="2" s="1"/>
  <c r="X887" i="2" s="1"/>
  <c r="AI1202" i="2"/>
  <c r="AJ1202" i="2" s="1"/>
  <c r="AK1202" i="2" s="1"/>
  <c r="AL1202" i="2" s="1"/>
  <c r="AI1215" i="2"/>
  <c r="AJ1215" i="2" s="1"/>
  <c r="AK1215" i="2" s="1"/>
  <c r="AL1215" i="2" s="1"/>
  <c r="AN1215" i="2" s="1"/>
  <c r="AI1124" i="2"/>
  <c r="AJ1124" i="2" s="1"/>
  <c r="AK1124" i="2" s="1"/>
  <c r="AL1124" i="2" s="1"/>
  <c r="AN1124" i="2" s="1"/>
  <c r="AI1012" i="2"/>
  <c r="AJ1012" i="2" s="1"/>
  <c r="AK1012" i="2" s="1"/>
  <c r="AL1012" i="2" s="1"/>
  <c r="AN1012" i="2" s="1"/>
  <c r="AI946" i="2"/>
  <c r="AJ946" i="2" s="1"/>
  <c r="AK946" i="2" s="1"/>
  <c r="AL946" i="2" s="1"/>
  <c r="AN946" i="2" s="1"/>
  <c r="AI953" i="2"/>
  <c r="AJ953" i="2" s="1"/>
  <c r="AK953" i="2" s="1"/>
  <c r="AL953" i="2" s="1"/>
  <c r="AN953" i="2" s="1"/>
  <c r="AI855" i="2"/>
  <c r="AJ855" i="2" s="1"/>
  <c r="AK855" i="2" s="1"/>
  <c r="AL855" i="2" s="1"/>
  <c r="AN855" i="2" s="1"/>
  <c r="AI789" i="2"/>
  <c r="AJ789" i="2" s="1"/>
  <c r="AK789" i="2" s="1"/>
  <c r="AL789" i="2" s="1"/>
  <c r="AN789" i="2" s="1"/>
  <c r="AI600" i="2"/>
  <c r="AJ600" i="2" s="1"/>
  <c r="AK600" i="2" s="1"/>
  <c r="AL600" i="2" s="1"/>
  <c r="AN600" i="2" s="1"/>
  <c r="AI324" i="2"/>
  <c r="AJ324" i="2" s="1"/>
  <c r="AK324" i="2" s="1"/>
  <c r="AL324" i="2" s="1"/>
  <c r="AI240" i="2"/>
  <c r="AI89" i="2"/>
  <c r="AJ89" i="2" s="1"/>
  <c r="AK89" i="2" s="1"/>
  <c r="AL89" i="2" s="1"/>
  <c r="AN89" i="2" s="1"/>
  <c r="AI170" i="2"/>
  <c r="AI188" i="2"/>
  <c r="AJ188" i="2" s="1"/>
  <c r="V73" i="2"/>
  <c r="W73" i="2" s="1"/>
  <c r="X73" i="2" s="1"/>
  <c r="AI898" i="2"/>
  <c r="AJ898" i="2" s="1"/>
  <c r="AK898" i="2" s="1"/>
  <c r="AL898" i="2" s="1"/>
  <c r="AN898" i="2" s="1"/>
  <c r="V596" i="2"/>
  <c r="W596" i="2" s="1"/>
  <c r="X596" i="2" s="1"/>
  <c r="AI1134" i="2"/>
  <c r="AJ1134" i="2" s="1"/>
  <c r="AK1134" i="2" s="1"/>
  <c r="AL1134" i="2" s="1"/>
  <c r="AN1134" i="2" s="1"/>
  <c r="AI1067" i="2"/>
  <c r="AJ1067" i="2" s="1"/>
  <c r="AK1067" i="2" s="1"/>
  <c r="AL1067" i="2" s="1"/>
  <c r="AN1067" i="2" s="1"/>
  <c r="AI833" i="2"/>
  <c r="W943" i="2"/>
  <c r="X943" i="2" s="1"/>
  <c r="AI878" i="2"/>
  <c r="AI775" i="2"/>
  <c r="AJ775" i="2" s="1"/>
  <c r="AK775" i="2" s="1"/>
  <c r="AL775" i="2" s="1"/>
  <c r="AN775" i="2" s="1"/>
  <c r="AI686" i="2"/>
  <c r="AI578" i="2"/>
  <c r="AI363" i="2"/>
  <c r="AJ363" i="2" s="1"/>
  <c r="AI441" i="2"/>
  <c r="AJ441" i="2" s="1"/>
  <c r="AK441" i="2" s="1"/>
  <c r="AL441" i="2" s="1"/>
  <c r="AN441" i="2" s="1"/>
  <c r="AI239" i="2"/>
  <c r="AJ239" i="2" s="1"/>
  <c r="AK239" i="2" s="1"/>
  <c r="AL239" i="2" s="1"/>
  <c r="AN239" i="2" s="1"/>
  <c r="AJ237" i="2"/>
  <c r="AK237" i="2" s="1"/>
  <c r="AL237" i="2" s="1"/>
  <c r="AM237" i="2" s="1"/>
  <c r="AN237" i="2" s="1"/>
  <c r="AI206" i="2"/>
  <c r="AJ206" i="2" s="1"/>
  <c r="AK206" i="2" s="1"/>
  <c r="AL206" i="2" s="1"/>
  <c r="AI167" i="2"/>
  <c r="AJ167" i="2" s="1"/>
  <c r="AK167" i="2" s="1"/>
  <c r="AL167" i="2" s="1"/>
  <c r="AI94" i="2"/>
  <c r="W93" i="2"/>
  <c r="X93" i="2" s="1"/>
  <c r="AI20" i="2"/>
  <c r="AJ20" i="2" s="1"/>
  <c r="AK20" i="2" s="1"/>
  <c r="AL20" i="2" s="1"/>
  <c r="AI100" i="2"/>
  <c r="AJ100" i="2" s="1"/>
  <c r="AI12" i="2"/>
  <c r="AJ12" i="2" s="1"/>
  <c r="AK12" i="2" s="1"/>
  <c r="AL12" i="2" s="1"/>
  <c r="AN12" i="2" s="1"/>
  <c r="V918" i="2"/>
  <c r="W918" i="2" s="1"/>
  <c r="X918" i="2" s="1"/>
  <c r="V1284" i="2"/>
  <c r="V843" i="2"/>
  <c r="W843" i="2" s="1"/>
  <c r="X843" i="2" s="1"/>
  <c r="AI766" i="2"/>
  <c r="AJ766" i="2" s="1"/>
  <c r="AK766" i="2" s="1"/>
  <c r="AL766" i="2" s="1"/>
  <c r="AN766" i="2" s="1"/>
  <c r="AI1231" i="2"/>
  <c r="AJ1231" i="2" s="1"/>
  <c r="AK1231" i="2" s="1"/>
  <c r="AL1231" i="2" s="1"/>
  <c r="AN1231" i="2" s="1"/>
  <c r="AI1183" i="2"/>
  <c r="AJ1183" i="2" s="1"/>
  <c r="AK1183" i="2" s="1"/>
  <c r="AL1183" i="2" s="1"/>
  <c r="AN1183" i="2" s="1"/>
  <c r="AI1208" i="2"/>
  <c r="AJ1208" i="2" s="1"/>
  <c r="AK1208" i="2" s="1"/>
  <c r="AL1208" i="2" s="1"/>
  <c r="AM1208" i="2" s="1"/>
  <c r="AN1208" i="2" s="1"/>
  <c r="AI1119" i="2"/>
  <c r="AJ1119" i="2" s="1"/>
  <c r="AK1119" i="2" s="1"/>
  <c r="AL1119" i="2" s="1"/>
  <c r="AN1119" i="2" s="1"/>
  <c r="V980" i="2"/>
  <c r="AI843" i="2"/>
  <c r="W878" i="2"/>
  <c r="X878" i="2" s="1"/>
  <c r="AI797" i="2"/>
  <c r="AJ797" i="2" s="1"/>
  <c r="AK797" i="2" s="1"/>
  <c r="AL797" i="2" s="1"/>
  <c r="AN797" i="2" s="1"/>
  <c r="AI773" i="2"/>
  <c r="AI690" i="2"/>
  <c r="AJ690" i="2" s="1"/>
  <c r="AI694" i="2"/>
  <c r="AI668" i="2"/>
  <c r="AJ668" i="2" s="1"/>
  <c r="AI588" i="2"/>
  <c r="AI359" i="2"/>
  <c r="AJ359" i="2" s="1"/>
  <c r="AI351" i="2"/>
  <c r="AJ351" i="2" s="1"/>
  <c r="AI160" i="2"/>
  <c r="AJ160" i="2" s="1"/>
  <c r="AK160" i="2" s="1"/>
  <c r="AL160" i="2" s="1"/>
  <c r="AI88" i="2"/>
  <c r="AJ88" i="2" s="1"/>
  <c r="AK88" i="2" s="1"/>
  <c r="AL88" i="2" s="1"/>
  <c r="AN88" i="2" s="1"/>
  <c r="AI185" i="2"/>
  <c r="AJ185" i="2" s="1"/>
  <c r="AI11" i="2"/>
  <c r="AJ11" i="2" s="1"/>
  <c r="AK11" i="2" s="1"/>
  <c r="AL11" i="2" s="1"/>
  <c r="AN11" i="2" s="1"/>
  <c r="AI25" i="2"/>
  <c r="AJ25" i="2" s="1"/>
  <c r="AK25" i="2" s="1"/>
  <c r="AL25" i="2" s="1"/>
  <c r="AN25" i="2" s="1"/>
  <c r="AI456" i="2"/>
  <c r="AI474" i="2"/>
  <c r="AJ474" i="2" s="1"/>
  <c r="AK474" i="2" s="1"/>
  <c r="AL474" i="2" s="1"/>
  <c r="AN474" i="2" s="1"/>
  <c r="AI487" i="2"/>
  <c r="AJ487" i="2" s="1"/>
  <c r="AK487" i="2" s="1"/>
  <c r="AL487" i="2" s="1"/>
  <c r="AN487" i="2" s="1"/>
  <c r="AI196" i="2"/>
  <c r="AI148" i="2"/>
  <c r="AI90" i="2"/>
  <c r="AJ90" i="2" s="1"/>
  <c r="AK90" i="2" s="1"/>
  <c r="AL90" i="2" s="1"/>
  <c r="AN90" i="2" s="1"/>
  <c r="V1173" i="2"/>
  <c r="W1173" i="2" s="1"/>
  <c r="X1173" i="2" s="1"/>
  <c r="X270" i="2"/>
  <c r="W1066" i="2"/>
  <c r="X1066" i="2" s="1"/>
  <c r="AI780" i="2"/>
  <c r="AI406" i="2"/>
  <c r="AJ406" i="2" s="1"/>
  <c r="AK406" i="2" s="1"/>
  <c r="AL406" i="2" s="1"/>
  <c r="AN406" i="2" s="1"/>
  <c r="AI190" i="2"/>
  <c r="AJ190" i="2" s="1"/>
  <c r="V240" i="2"/>
  <c r="W240" i="2" s="1"/>
  <c r="X240" i="2" s="1"/>
  <c r="AI212" i="2"/>
  <c r="AJ212" i="2" s="1"/>
  <c r="AI1126" i="2"/>
  <c r="AJ1126" i="2" s="1"/>
  <c r="AK1126" i="2" s="1"/>
  <c r="AL1126" i="2" s="1"/>
  <c r="AI639" i="2"/>
  <c r="AJ639" i="2" s="1"/>
  <c r="AK639" i="2" s="1"/>
  <c r="AL639" i="2" s="1"/>
  <c r="AN639" i="2" s="1"/>
  <c r="AI1076" i="2"/>
  <c r="AJ1076" i="2" s="1"/>
  <c r="AK1076" i="2" s="1"/>
  <c r="AL1076" i="2" s="1"/>
  <c r="AN1076" i="2" s="1"/>
  <c r="AI871" i="2"/>
  <c r="AJ871" i="2" s="1"/>
  <c r="AK871" i="2" s="1"/>
  <c r="AL871" i="2" s="1"/>
  <c r="AI636" i="2"/>
  <c r="AJ636" i="2" s="1"/>
  <c r="AK636" i="2" s="1"/>
  <c r="AL636" i="2" s="1"/>
  <c r="AN636" i="2" s="1"/>
  <c r="AI607" i="2"/>
  <c r="AI1305" i="2"/>
  <c r="AJ1305" i="2" s="1"/>
  <c r="AK1305" i="2" s="1"/>
  <c r="AL1305" i="2" s="1"/>
  <c r="AN1305" i="2" s="1"/>
  <c r="AI1272" i="2"/>
  <c r="AI1243" i="2"/>
  <c r="AJ1243" i="2" s="1"/>
  <c r="AK1243" i="2" s="1"/>
  <c r="AL1243" i="2" s="1"/>
  <c r="AN1243" i="2" s="1"/>
  <c r="AI1268" i="2"/>
  <c r="AJ1268" i="2" s="1"/>
  <c r="AK1268" i="2" s="1"/>
  <c r="AL1268" i="2" s="1"/>
  <c r="AN1268" i="2" s="1"/>
  <c r="AI1225" i="2"/>
  <c r="AJ1225" i="2" s="1"/>
  <c r="AK1225" i="2" s="1"/>
  <c r="AL1225" i="2" s="1"/>
  <c r="AN1225" i="2" s="1"/>
  <c r="AI1192" i="2"/>
  <c r="AJ1192" i="2" s="1"/>
  <c r="AK1192" i="2" s="1"/>
  <c r="AL1192" i="2" s="1"/>
  <c r="AM1192" i="2" s="1"/>
  <c r="AN1192" i="2" s="1"/>
  <c r="AI1185" i="2"/>
  <c r="AJ1185" i="2" s="1"/>
  <c r="AI1105" i="2"/>
  <c r="AJ1105" i="2" s="1"/>
  <c r="AI1100" i="2"/>
  <c r="AJ1100" i="2" s="1"/>
  <c r="AI1066" i="2"/>
  <c r="AI1006" i="2"/>
  <c r="AJ1006" i="2" s="1"/>
  <c r="AK1006" i="2" s="1"/>
  <c r="AL1006" i="2" s="1"/>
  <c r="AN1006" i="2" s="1"/>
  <c r="AI989" i="2"/>
  <c r="AJ989" i="2" s="1"/>
  <c r="AK989" i="2" s="1"/>
  <c r="AL989" i="2" s="1"/>
  <c r="AN989" i="2" s="1"/>
  <c r="AI929" i="2"/>
  <c r="AJ929" i="2" s="1"/>
  <c r="AK929" i="2" s="1"/>
  <c r="AL929" i="2" s="1"/>
  <c r="AN929" i="2" s="1"/>
  <c r="AI909" i="2"/>
  <c r="AJ909" i="2" s="1"/>
  <c r="AK909" i="2" s="1"/>
  <c r="AL909" i="2" s="1"/>
  <c r="AN909" i="2" s="1"/>
  <c r="AI980" i="2"/>
  <c r="AJ980" i="2" s="1"/>
  <c r="AK980" i="2" s="1"/>
  <c r="AL980" i="2" s="1"/>
  <c r="AN980" i="2" s="1"/>
  <c r="W990" i="2"/>
  <c r="X990" i="2" s="1"/>
  <c r="W713" i="2"/>
  <c r="X713" i="2" s="1"/>
  <c r="AI599" i="2"/>
  <c r="AJ599" i="2" s="1"/>
  <c r="AK599" i="2" s="1"/>
  <c r="AL599" i="2" s="1"/>
  <c r="AN599" i="2" s="1"/>
  <c r="AI548" i="2"/>
  <c r="AI375" i="2"/>
  <c r="AJ375" i="2" s="1"/>
  <c r="W316" i="2"/>
  <c r="X316" i="2" s="1"/>
  <c r="AI108" i="2"/>
  <c r="AJ108" i="2" s="1"/>
  <c r="AK108" i="2" s="1"/>
  <c r="AL108" i="2" s="1"/>
  <c r="AN108" i="2" s="1"/>
  <c r="AI250" i="2"/>
  <c r="AJ250" i="2" s="1"/>
  <c r="AK250" i="2" s="1"/>
  <c r="AL250" i="2" s="1"/>
  <c r="AN250" i="2" s="1"/>
  <c r="AI77" i="2"/>
  <c r="AJ77" i="2" s="1"/>
  <c r="AK77" i="2" s="1"/>
  <c r="AL77" i="2" s="1"/>
  <c r="AN77" i="2" s="1"/>
  <c r="W54" i="2"/>
  <c r="X54" i="2" s="1"/>
  <c r="W27" i="2"/>
  <c r="X27" i="2" s="1"/>
  <c r="AI556" i="2"/>
  <c r="AJ556" i="2" s="1"/>
  <c r="AK556" i="2" s="1"/>
  <c r="AL556" i="2" s="1"/>
  <c r="AN556" i="2" s="1"/>
  <c r="AI635" i="2"/>
  <c r="V423" i="2"/>
  <c r="W423" i="2" s="1"/>
  <c r="X423" i="2" s="1"/>
  <c r="AI1151" i="2"/>
  <c r="AI1128" i="2"/>
  <c r="AJ1128" i="2" s="1"/>
  <c r="AK1128" i="2" s="1"/>
  <c r="AL1128" i="2" s="1"/>
  <c r="AM1128" i="2" s="1"/>
  <c r="AN1128" i="2" s="1"/>
  <c r="AI1226" i="2"/>
  <c r="AJ1226" i="2" s="1"/>
  <c r="AK1226" i="2" s="1"/>
  <c r="AL1226" i="2" s="1"/>
  <c r="AN1226" i="2" s="1"/>
  <c r="AI1188" i="2"/>
  <c r="AJ1188" i="2" s="1"/>
  <c r="AK1188" i="2" s="1"/>
  <c r="AL1188" i="2" s="1"/>
  <c r="AN1188" i="2" s="1"/>
  <c r="AI1026" i="2"/>
  <c r="AJ1026" i="2" s="1"/>
  <c r="AK1026" i="2" s="1"/>
  <c r="AL1026" i="2" s="1"/>
  <c r="AN1026" i="2" s="1"/>
  <c r="AI1260" i="2"/>
  <c r="AJ1260" i="2" s="1"/>
  <c r="AK1260" i="2" s="1"/>
  <c r="AL1260" i="2" s="1"/>
  <c r="AN1260" i="2" s="1"/>
  <c r="AI1264" i="2"/>
  <c r="AJ1264" i="2" s="1"/>
  <c r="AK1264" i="2" s="1"/>
  <c r="AL1264" i="2" s="1"/>
  <c r="AN1264" i="2" s="1"/>
  <c r="W1162" i="2"/>
  <c r="X1162" i="2" s="1"/>
  <c r="AI1063" i="2"/>
  <c r="AJ1063" i="2" s="1"/>
  <c r="AK1063" i="2" s="1"/>
  <c r="AL1063" i="2" s="1"/>
  <c r="AN1063" i="2" s="1"/>
  <c r="AI1054" i="2"/>
  <c r="AJ1054" i="2" s="1"/>
  <c r="AK1054" i="2" s="1"/>
  <c r="AL1054" i="2" s="1"/>
  <c r="AN1054" i="2" s="1"/>
  <c r="AI893" i="2"/>
  <c r="AJ893" i="2" s="1"/>
  <c r="AK893" i="2" s="1"/>
  <c r="AL893" i="2" s="1"/>
  <c r="AN893" i="2" s="1"/>
  <c r="AI755" i="2"/>
  <c r="AJ755" i="2" s="1"/>
  <c r="AK755" i="2" s="1"/>
  <c r="AL755" i="2" s="1"/>
  <c r="AN755" i="2" s="1"/>
  <c r="W669" i="2"/>
  <c r="X669" i="2" s="1"/>
  <c r="AI416" i="2"/>
  <c r="AJ416" i="2" s="1"/>
  <c r="AK416" i="2" s="1"/>
  <c r="AL416" i="2" s="1"/>
  <c r="AN416" i="2" s="1"/>
  <c r="AI380" i="2"/>
  <c r="AJ380" i="2" s="1"/>
  <c r="AI305" i="2"/>
  <c r="AJ305" i="2" s="1"/>
  <c r="AK305" i="2" s="1"/>
  <c r="AL305" i="2" s="1"/>
  <c r="AN305" i="2" s="1"/>
  <c r="AI96" i="2"/>
  <c r="AJ96" i="2" s="1"/>
  <c r="AK96" i="2" s="1"/>
  <c r="AL96" i="2" s="1"/>
  <c r="AN96" i="2" s="1"/>
  <c r="AI34" i="2"/>
  <c r="AJ34" i="2" s="1"/>
  <c r="AK34" i="2" s="1"/>
  <c r="AL34" i="2" s="1"/>
  <c r="AN34" i="2" s="1"/>
  <c r="AI1082" i="2"/>
  <c r="V112" i="2"/>
  <c r="W112" i="2" s="1"/>
  <c r="X112" i="2" s="1"/>
  <c r="AI163" i="2"/>
  <c r="AJ163" i="2" s="1"/>
  <c r="AK163" i="2" s="1"/>
  <c r="AL163" i="2" s="1"/>
  <c r="AM163" i="2" s="1"/>
  <c r="AN163" i="2" s="1"/>
  <c r="AI966" i="2"/>
  <c r="AJ966" i="2" s="1"/>
  <c r="AK966" i="2" s="1"/>
  <c r="AL966" i="2" s="1"/>
  <c r="AN966" i="2" s="1"/>
  <c r="AI814" i="2"/>
  <c r="AJ814" i="2" s="1"/>
  <c r="AK814" i="2" s="1"/>
  <c r="AL814" i="2" s="1"/>
  <c r="AN814" i="2" s="1"/>
  <c r="X319" i="2"/>
  <c r="AI1280" i="2"/>
  <c r="AJ1280" i="2" s="1"/>
  <c r="AK1280" i="2" s="1"/>
  <c r="AL1280" i="2" s="1"/>
  <c r="AN1280" i="2" s="1"/>
  <c r="AI1162" i="2"/>
  <c r="W1070" i="2"/>
  <c r="X1070" i="2" s="1"/>
  <c r="AI1246" i="2"/>
  <c r="AJ1246" i="2" s="1"/>
  <c r="AI1123" i="2"/>
  <c r="AJ1123" i="2" s="1"/>
  <c r="AK1123" i="2" s="1"/>
  <c r="AL1123" i="2" s="1"/>
  <c r="AI1269" i="2"/>
  <c r="AI1230" i="2"/>
  <c r="AJ1230" i="2" s="1"/>
  <c r="AK1230" i="2" s="1"/>
  <c r="AL1230" i="2" s="1"/>
  <c r="AN1230" i="2" s="1"/>
  <c r="AI1214" i="2"/>
  <c r="AI1302" i="2"/>
  <c r="AJ1302" i="2" s="1"/>
  <c r="AK1302" i="2" s="1"/>
  <c r="AL1302" i="2" s="1"/>
  <c r="AN1302" i="2" s="1"/>
  <c r="AI1227" i="2"/>
  <c r="AJ1227" i="2" s="1"/>
  <c r="AK1227" i="2" s="1"/>
  <c r="AL1227" i="2" s="1"/>
  <c r="AN1227" i="2" s="1"/>
  <c r="AI888" i="2"/>
  <c r="AJ888" i="2" s="1"/>
  <c r="AK888" i="2" s="1"/>
  <c r="AL888" i="2" s="1"/>
  <c r="AN888" i="2" s="1"/>
  <c r="AI845" i="2"/>
  <c r="AJ845" i="2" s="1"/>
  <c r="AK845" i="2" s="1"/>
  <c r="AL845" i="2" s="1"/>
  <c r="AI764" i="2"/>
  <c r="AI740" i="2"/>
  <c r="AJ740" i="2" s="1"/>
  <c r="AK740" i="2" s="1"/>
  <c r="AL740" i="2" s="1"/>
  <c r="AN740" i="2" s="1"/>
  <c r="AI697" i="2"/>
  <c r="W821" i="2"/>
  <c r="X821" i="2" s="1"/>
  <c r="AI479" i="2"/>
  <c r="AJ479" i="2" s="1"/>
  <c r="AK479" i="2" s="1"/>
  <c r="AL479" i="2" s="1"/>
  <c r="AN479" i="2" s="1"/>
  <c r="AI463" i="2"/>
  <c r="AJ463" i="2" s="1"/>
  <c r="AK463" i="2" s="1"/>
  <c r="AL463" i="2" s="1"/>
  <c r="AN463" i="2" s="1"/>
  <c r="AI353" i="2"/>
  <c r="AJ353" i="2" s="1"/>
  <c r="W517" i="2"/>
  <c r="X517" i="2" s="1"/>
  <c r="AI475" i="2"/>
  <c r="AJ475" i="2" s="1"/>
  <c r="AK475" i="2" s="1"/>
  <c r="AL475" i="2" s="1"/>
  <c r="AN475" i="2" s="1"/>
  <c r="AI390" i="2"/>
  <c r="AI295" i="2"/>
  <c r="AJ295" i="2" s="1"/>
  <c r="AK295" i="2" s="1"/>
  <c r="AL295" i="2" s="1"/>
  <c r="AI335" i="2"/>
  <c r="AI187" i="2"/>
  <c r="AJ187" i="2" s="1"/>
  <c r="AI95" i="2"/>
  <c r="AI226" i="2"/>
  <c r="AJ226" i="2" s="1"/>
  <c r="AK226" i="2" s="1"/>
  <c r="AL226" i="2" s="1"/>
  <c r="AN226" i="2" s="1"/>
  <c r="W196" i="2"/>
  <c r="X196" i="2" s="1"/>
  <c r="AI73" i="2"/>
  <c r="V141" i="2"/>
  <c r="W141" i="2" s="1"/>
  <c r="X141" i="2" s="1"/>
  <c r="AI72" i="2"/>
  <c r="AJ72" i="2" s="1"/>
  <c r="AK72" i="2" s="1"/>
  <c r="AL72" i="2" s="1"/>
  <c r="AN72" i="2" s="1"/>
  <c r="W4" i="2"/>
  <c r="X4" i="2" s="1"/>
  <c r="V399" i="2"/>
  <c r="W399" i="2" s="1"/>
  <c r="X399" i="2" s="1"/>
  <c r="AI143" i="2"/>
  <c r="AJ143" i="2" s="1"/>
  <c r="AI1275" i="2"/>
  <c r="AJ1275" i="2" s="1"/>
  <c r="AK1275" i="2" s="1"/>
  <c r="AL1275" i="2" s="1"/>
  <c r="AN1275" i="2" s="1"/>
  <c r="AI1252" i="2"/>
  <c r="AI1169" i="2"/>
  <c r="AJ1169" i="2" s="1"/>
  <c r="AI1050" i="2"/>
  <c r="AI1046" i="2"/>
  <c r="AJ1046" i="2" s="1"/>
  <c r="AK1046" i="2" s="1"/>
  <c r="AL1046" i="2" s="1"/>
  <c r="AN1046" i="2" s="1"/>
  <c r="AI1048" i="2"/>
  <c r="AJ1048" i="2" s="1"/>
  <c r="AK1048" i="2" s="1"/>
  <c r="AL1048" i="2" s="1"/>
  <c r="AN1048" i="2" s="1"/>
  <c r="AI902" i="2"/>
  <c r="AJ902" i="2" s="1"/>
  <c r="AK902" i="2" s="1"/>
  <c r="AL902" i="2" s="1"/>
  <c r="AN902" i="2" s="1"/>
  <c r="AI887" i="2"/>
  <c r="W818" i="2"/>
  <c r="X818" i="2" s="1"/>
  <c r="AI687" i="2"/>
  <c r="AI759" i="2"/>
  <c r="AJ759" i="2" s="1"/>
  <c r="AK759" i="2" s="1"/>
  <c r="AL759" i="2" s="1"/>
  <c r="AN759" i="2" s="1"/>
  <c r="AI722" i="2"/>
  <c r="AJ722" i="2" s="1"/>
  <c r="AK722" i="2" s="1"/>
  <c r="AL722" i="2" s="1"/>
  <c r="AN722" i="2" s="1"/>
  <c r="AI606" i="2"/>
  <c r="AI553" i="2"/>
  <c r="AJ553" i="2" s="1"/>
  <c r="AK553" i="2" s="1"/>
  <c r="AL553" i="2" s="1"/>
  <c r="AN553" i="2" s="1"/>
  <c r="AI403" i="2"/>
  <c r="AJ403" i="2" s="1"/>
  <c r="AI207" i="2"/>
  <c r="AJ207" i="2" s="1"/>
  <c r="AI92" i="2"/>
  <c r="AJ92" i="2" s="1"/>
  <c r="AK92" i="2" s="1"/>
  <c r="AL92" i="2" s="1"/>
  <c r="AN92" i="2" s="1"/>
  <c r="AI156" i="2"/>
  <c r="AJ156" i="2" s="1"/>
  <c r="AK156" i="2" s="1"/>
  <c r="AL156" i="2" s="1"/>
  <c r="AM156" i="2" s="1"/>
  <c r="AN156" i="2" s="1"/>
  <c r="AI69" i="2"/>
  <c r="AJ69" i="2" s="1"/>
  <c r="AK69" i="2" s="1"/>
  <c r="AL69" i="2" s="1"/>
  <c r="AN69" i="2" s="1"/>
  <c r="W5" i="2"/>
  <c r="X5" i="2" s="1"/>
  <c r="V1181" i="2"/>
  <c r="W1181" i="2" s="1"/>
  <c r="X1181" i="2" s="1"/>
  <c r="AI452" i="2"/>
  <c r="AJ452" i="2" s="1"/>
  <c r="AK452" i="2" s="1"/>
  <c r="AL452" i="2" s="1"/>
  <c r="AN452" i="2" s="1"/>
  <c r="W1269" i="2"/>
  <c r="X1269" i="2" s="1"/>
  <c r="AI937" i="2"/>
  <c r="AJ937" i="2" s="1"/>
  <c r="W687" i="2"/>
  <c r="X687" i="2" s="1"/>
  <c r="AI1197" i="2"/>
  <c r="AI1047" i="2"/>
  <c r="AJ1047" i="2" s="1"/>
  <c r="AK1047" i="2" s="1"/>
  <c r="AL1047" i="2" s="1"/>
  <c r="AN1047" i="2" s="1"/>
  <c r="AI597" i="2"/>
  <c r="AI322" i="2"/>
  <c r="AJ322" i="2" s="1"/>
  <c r="AK322" i="2" s="1"/>
  <c r="AL322" i="2" s="1"/>
  <c r="AN322" i="2" s="1"/>
  <c r="AI199" i="2"/>
  <c r="AJ199" i="2" s="1"/>
  <c r="W117" i="2"/>
  <c r="X117" i="2" s="1"/>
  <c r="AI1159" i="2"/>
  <c r="AJ1159" i="2" s="1"/>
  <c r="AK1159" i="2" s="1"/>
  <c r="AL1159" i="2" s="1"/>
  <c r="AN1159" i="2" s="1"/>
  <c r="AI1092" i="2"/>
  <c r="AJ1092" i="2" s="1"/>
  <c r="AK1092" i="2" s="1"/>
  <c r="AL1092" i="2" s="1"/>
  <c r="AN1092" i="2" s="1"/>
  <c r="AI1017" i="2"/>
  <c r="AI992" i="2"/>
  <c r="AJ992" i="2" s="1"/>
  <c r="AK992" i="2" s="1"/>
  <c r="AL992" i="2" s="1"/>
  <c r="AN992" i="2" s="1"/>
  <c r="AI794" i="2"/>
  <c r="AI765" i="2"/>
  <c r="AJ765" i="2" s="1"/>
  <c r="AK765" i="2" s="1"/>
  <c r="AL765" i="2" s="1"/>
  <c r="AN765" i="2" s="1"/>
  <c r="AI730" i="2"/>
  <c r="AI799" i="2"/>
  <c r="AI753" i="2"/>
  <c r="AJ753" i="2" s="1"/>
  <c r="AK753" i="2" s="1"/>
  <c r="AL753" i="2" s="1"/>
  <c r="AN753" i="2" s="1"/>
  <c r="AI571" i="2"/>
  <c r="AJ571" i="2" s="1"/>
  <c r="AK571" i="2" s="1"/>
  <c r="AL571" i="2" s="1"/>
  <c r="AN571" i="2" s="1"/>
  <c r="AI175" i="2"/>
  <c r="AJ175" i="2" s="1"/>
  <c r="AK175" i="2" s="1"/>
  <c r="AL175" i="2" s="1"/>
  <c r="AI79" i="2"/>
  <c r="AJ79" i="2" s="1"/>
  <c r="AK79" i="2" s="1"/>
  <c r="AL79" i="2" s="1"/>
  <c r="AN79" i="2" s="1"/>
  <c r="AI43" i="2"/>
  <c r="AJ43" i="2" s="1"/>
  <c r="AK43" i="2" s="1"/>
  <c r="AL43" i="2" s="1"/>
  <c r="AI57" i="2"/>
  <c r="AJ57" i="2" s="1"/>
  <c r="AK57" i="2" s="1"/>
  <c r="AL57" i="2" s="1"/>
  <c r="AN57" i="2" s="1"/>
  <c r="AI66" i="2"/>
  <c r="AJ66" i="2" s="1"/>
  <c r="AK66" i="2" s="1"/>
  <c r="AL66" i="2" s="1"/>
  <c r="AN66" i="2" s="1"/>
  <c r="V456" i="2"/>
  <c r="W456" i="2" s="1"/>
  <c r="X456" i="2" s="1"/>
  <c r="V24" i="2"/>
  <c r="W24" i="2" s="1"/>
  <c r="X24" i="2" s="1"/>
  <c r="V183" i="2"/>
  <c r="AI1118" i="2"/>
  <c r="AI681" i="2"/>
  <c r="AJ681" i="2" s="1"/>
  <c r="AI191" i="2"/>
  <c r="AI158" i="2"/>
  <c r="AI189" i="2"/>
  <c r="AJ189" i="2" s="1"/>
  <c r="AI1306" i="2"/>
  <c r="AJ1306" i="2" s="1"/>
  <c r="AK1306" i="2" s="1"/>
  <c r="AL1306" i="2" s="1"/>
  <c r="AN1306" i="2" s="1"/>
  <c r="AI1211" i="2"/>
  <c r="AJ1211" i="2" s="1"/>
  <c r="AK1211" i="2" s="1"/>
  <c r="AL1211" i="2" s="1"/>
  <c r="AN1211" i="2" s="1"/>
  <c r="AI1034" i="2"/>
  <c r="AJ1034" i="2" s="1"/>
  <c r="AK1034" i="2" s="1"/>
  <c r="AL1034" i="2" s="1"/>
  <c r="AN1034" i="2" s="1"/>
  <c r="AI1071" i="2"/>
  <c r="AJ1071" i="2" s="1"/>
  <c r="AK1071" i="2" s="1"/>
  <c r="AL1071" i="2" s="1"/>
  <c r="AN1071" i="2" s="1"/>
  <c r="V799" i="2"/>
  <c r="W799" i="2" s="1"/>
  <c r="X799" i="2" s="1"/>
  <c r="AI707" i="2"/>
  <c r="AJ707" i="2" s="1"/>
  <c r="AK707" i="2" s="1"/>
  <c r="AL707" i="2" s="1"/>
  <c r="AN707" i="2" s="1"/>
  <c r="AI696" i="2"/>
  <c r="AI550" i="2"/>
  <c r="AJ550" i="2" s="1"/>
  <c r="AK550" i="2" s="1"/>
  <c r="AL550" i="2" s="1"/>
  <c r="AN550" i="2" s="1"/>
  <c r="AI524" i="2"/>
  <c r="AJ524" i="2" s="1"/>
  <c r="AK524" i="2" s="1"/>
  <c r="AL524" i="2" s="1"/>
  <c r="AN524" i="2" s="1"/>
  <c r="AI447" i="2"/>
  <c r="AJ447" i="2" s="1"/>
  <c r="AK447" i="2" s="1"/>
  <c r="AL447" i="2" s="1"/>
  <c r="AN447" i="2" s="1"/>
  <c r="AI411" i="2"/>
  <c r="AJ411" i="2" s="1"/>
  <c r="AI445" i="2"/>
  <c r="AJ445" i="2" s="1"/>
  <c r="AK445" i="2" s="1"/>
  <c r="AL445" i="2" s="1"/>
  <c r="AN445" i="2" s="1"/>
  <c r="X489" i="2"/>
  <c r="AI293" i="2"/>
  <c r="AI17" i="2"/>
  <c r="AJ17" i="2" s="1"/>
  <c r="AK17" i="2" s="1"/>
  <c r="AL17" i="2" s="1"/>
  <c r="AN17" i="2" s="1"/>
  <c r="AI28" i="2"/>
  <c r="AJ28" i="2" s="1"/>
  <c r="AK28" i="2" s="1"/>
  <c r="AL28" i="2" s="1"/>
  <c r="AN28" i="2" s="1"/>
  <c r="AI1284" i="2"/>
  <c r="AI1031" i="2"/>
  <c r="AJ1031" i="2" s="1"/>
  <c r="AK1031" i="2" s="1"/>
  <c r="AL1031" i="2" s="1"/>
  <c r="AN1031" i="2" s="1"/>
  <c r="AI1033" i="2"/>
  <c r="AJ1033" i="2" s="1"/>
  <c r="AK1033" i="2" s="1"/>
  <c r="AL1033" i="2" s="1"/>
  <c r="AN1033" i="2" s="1"/>
  <c r="AI917" i="2"/>
  <c r="AJ917" i="2" s="1"/>
  <c r="AK917" i="2" s="1"/>
  <c r="AL917" i="2" s="1"/>
  <c r="AN917" i="2" s="1"/>
  <c r="AI649" i="2"/>
  <c r="AI507" i="2"/>
  <c r="AJ507" i="2" s="1"/>
  <c r="AK507" i="2" s="1"/>
  <c r="AL507" i="2" s="1"/>
  <c r="AN507" i="2" s="1"/>
  <c r="AI547" i="2"/>
  <c r="AJ547" i="2" s="1"/>
  <c r="AK547" i="2" s="1"/>
  <c r="AL547" i="2" s="1"/>
  <c r="AN547" i="2" s="1"/>
  <c r="AI525" i="2"/>
  <c r="AJ525" i="2" s="1"/>
  <c r="AK525" i="2" s="1"/>
  <c r="AL525" i="2" s="1"/>
  <c r="AN525" i="2" s="1"/>
  <c r="AI265" i="2"/>
  <c r="AJ265" i="2" s="1"/>
  <c r="AK265" i="2" s="1"/>
  <c r="AL265" i="2" s="1"/>
  <c r="AN265" i="2" s="1"/>
  <c r="AI336" i="2"/>
  <c r="AJ336" i="2" s="1"/>
  <c r="AK336" i="2" s="1"/>
  <c r="AL336" i="2" s="1"/>
  <c r="AM336" i="2" s="1"/>
  <c r="AN336" i="2" s="1"/>
  <c r="AI245" i="2"/>
  <c r="AJ245" i="2" s="1"/>
  <c r="AK245" i="2" s="1"/>
  <c r="AL245" i="2" s="1"/>
  <c r="AI67" i="2"/>
  <c r="AJ67" i="2" s="1"/>
  <c r="AK67" i="2" s="1"/>
  <c r="AL67" i="2" s="1"/>
  <c r="AN67" i="2" s="1"/>
  <c r="AN195" i="2"/>
  <c r="AI116" i="2"/>
  <c r="AJ116" i="2" s="1"/>
  <c r="AK116" i="2" s="1"/>
  <c r="AL116" i="2" s="1"/>
  <c r="AN116" i="2" s="1"/>
  <c r="AI1289" i="2"/>
  <c r="AJ1289" i="2" s="1"/>
  <c r="AK1289" i="2" s="1"/>
  <c r="AL1289" i="2" s="1"/>
  <c r="AN1289" i="2" s="1"/>
  <c r="AI1263" i="2"/>
  <c r="AJ1263" i="2" s="1"/>
  <c r="AK1263" i="2" s="1"/>
  <c r="AL1263" i="2" s="1"/>
  <c r="AN1263" i="2" s="1"/>
  <c r="AI1166" i="2"/>
  <c r="AJ1166" i="2" s="1"/>
  <c r="AK1166" i="2" s="1"/>
  <c r="AL1166" i="2" s="1"/>
  <c r="AN1166" i="2" s="1"/>
  <c r="AI1099" i="2"/>
  <c r="AJ1099" i="2" s="1"/>
  <c r="AI1042" i="2"/>
  <c r="AJ1042" i="2" s="1"/>
  <c r="AI1145" i="2"/>
  <c r="AI1013" i="2"/>
  <c r="AJ1013" i="2" s="1"/>
  <c r="AK1013" i="2" s="1"/>
  <c r="AL1013" i="2" s="1"/>
  <c r="AN1013" i="2" s="1"/>
  <c r="AI1008" i="2"/>
  <c r="AJ1008" i="2" s="1"/>
  <c r="AK1008" i="2" s="1"/>
  <c r="AL1008" i="2" s="1"/>
  <c r="AN1008" i="2" s="1"/>
  <c r="AI935" i="2"/>
  <c r="AI912" i="2"/>
  <c r="AJ912" i="2" s="1"/>
  <c r="AK912" i="2" s="1"/>
  <c r="AL912" i="2" s="1"/>
  <c r="AN912" i="2" s="1"/>
  <c r="AI907" i="2"/>
  <c r="AJ907" i="2" s="1"/>
  <c r="AK907" i="2" s="1"/>
  <c r="AL907" i="2" s="1"/>
  <c r="AN907" i="2" s="1"/>
  <c r="AI876" i="2"/>
  <c r="AJ876" i="2" s="1"/>
  <c r="AK876" i="2" s="1"/>
  <c r="AL876" i="2" s="1"/>
  <c r="AN876" i="2" s="1"/>
  <c r="AI791" i="2"/>
  <c r="AJ791" i="2" s="1"/>
  <c r="AK791" i="2" s="1"/>
  <c r="AL791" i="2" s="1"/>
  <c r="AN791" i="2" s="1"/>
  <c r="AI655" i="2"/>
  <c r="AI618" i="2"/>
  <c r="AJ618" i="2" s="1"/>
  <c r="AK618" i="2" s="1"/>
  <c r="AL618" i="2" s="1"/>
  <c r="AN618" i="2" s="1"/>
  <c r="AI626" i="2"/>
  <c r="AJ626" i="2" s="1"/>
  <c r="AK626" i="2" s="1"/>
  <c r="AL626" i="2" s="1"/>
  <c r="AN626" i="2" s="1"/>
  <c r="AI544" i="2"/>
  <c r="AJ544" i="2" s="1"/>
  <c r="AK544" i="2" s="1"/>
  <c r="AL544" i="2" s="1"/>
  <c r="AN544" i="2" s="1"/>
  <c r="AI498" i="2"/>
  <c r="AJ498" i="2" s="1"/>
  <c r="AK498" i="2" s="1"/>
  <c r="AL498" i="2" s="1"/>
  <c r="AN498" i="2" s="1"/>
  <c r="AI492" i="2"/>
  <c r="AJ492" i="2" s="1"/>
  <c r="AK492" i="2" s="1"/>
  <c r="AL492" i="2" s="1"/>
  <c r="AN492" i="2" s="1"/>
  <c r="AI129" i="2"/>
  <c r="AJ129" i="2" s="1"/>
  <c r="AK129" i="2" s="1"/>
  <c r="AL129" i="2" s="1"/>
  <c r="AN129" i="2" s="1"/>
  <c r="AI220" i="2"/>
  <c r="AJ220" i="2" s="1"/>
  <c r="AK220" i="2" s="1"/>
  <c r="AL220" i="2" s="1"/>
  <c r="AN220" i="2" s="1"/>
  <c r="AI420" i="2"/>
  <c r="AJ420" i="2" s="1"/>
  <c r="AK420" i="2" s="1"/>
  <c r="AL420" i="2" s="1"/>
  <c r="AN420" i="2" s="1"/>
  <c r="AI422" i="2"/>
  <c r="AJ422" i="2" s="1"/>
  <c r="W219" i="2"/>
  <c r="X219" i="2" s="1"/>
  <c r="AI1203" i="2"/>
  <c r="AJ1203" i="2" s="1"/>
  <c r="AK1203" i="2" s="1"/>
  <c r="AL1203" i="2" s="1"/>
  <c r="AI1156" i="2"/>
  <c r="AJ1156" i="2" s="1"/>
  <c r="AK1156" i="2" s="1"/>
  <c r="AL1156" i="2" s="1"/>
  <c r="AN1156" i="2" s="1"/>
  <c r="AI1144" i="2"/>
  <c r="AJ1144" i="2" s="1"/>
  <c r="AK1144" i="2" s="1"/>
  <c r="AL1144" i="2" s="1"/>
  <c r="AI999" i="2"/>
  <c r="AJ999" i="2" s="1"/>
  <c r="AK999" i="2" s="1"/>
  <c r="AL999" i="2" s="1"/>
  <c r="AN999" i="2" s="1"/>
  <c r="AI1002" i="2"/>
  <c r="AJ1002" i="2" s="1"/>
  <c r="AK1002" i="2" s="1"/>
  <c r="AL1002" i="2" s="1"/>
  <c r="AN1002" i="2" s="1"/>
  <c r="AI993" i="2"/>
  <c r="AJ993" i="2" s="1"/>
  <c r="AK993" i="2" s="1"/>
  <c r="AL993" i="2" s="1"/>
  <c r="AN993" i="2" s="1"/>
  <c r="AI967" i="2"/>
  <c r="AI819" i="2"/>
  <c r="AJ819" i="2" s="1"/>
  <c r="AK819" i="2" s="1"/>
  <c r="AL819" i="2" s="1"/>
  <c r="AN819" i="2" s="1"/>
  <c r="AI692" i="2"/>
  <c r="AI643" i="2"/>
  <c r="AJ643" i="2" s="1"/>
  <c r="AK643" i="2" s="1"/>
  <c r="AL643" i="2" s="1"/>
  <c r="AN643" i="2" s="1"/>
  <c r="AI602" i="2"/>
  <c r="AI466" i="2"/>
  <c r="AJ466" i="2" s="1"/>
  <c r="AK466" i="2" s="1"/>
  <c r="AL466" i="2" s="1"/>
  <c r="AN466" i="2" s="1"/>
  <c r="AI367" i="2"/>
  <c r="AJ367" i="2" s="1"/>
  <c r="AI340" i="2"/>
  <c r="AJ340" i="2" s="1"/>
  <c r="AI120" i="2"/>
  <c r="AJ120" i="2" s="1"/>
  <c r="AK120" i="2" s="1"/>
  <c r="AL120" i="2" s="1"/>
  <c r="AN120" i="2" s="1"/>
  <c r="AI1088" i="2"/>
  <c r="AJ1088" i="2" s="1"/>
  <c r="AK1088" i="2" s="1"/>
  <c r="AL1088" i="2" s="1"/>
  <c r="AN1088" i="2" s="1"/>
  <c r="AI1110" i="2"/>
  <c r="AJ1110" i="2" s="1"/>
  <c r="AK1110" i="2" s="1"/>
  <c r="AL1110" i="2" s="1"/>
  <c r="AI1080" i="2"/>
  <c r="AJ1080" i="2" s="1"/>
  <c r="AK1080" i="2" s="1"/>
  <c r="AL1080" i="2" s="1"/>
  <c r="AN1080" i="2" s="1"/>
  <c r="AI1131" i="2"/>
  <c r="AJ1131" i="2" s="1"/>
  <c r="AK1131" i="2" s="1"/>
  <c r="AL1131" i="2" s="1"/>
  <c r="AI1064" i="2"/>
  <c r="AJ1064" i="2" s="1"/>
  <c r="AK1064" i="2" s="1"/>
  <c r="AL1064" i="2" s="1"/>
  <c r="AN1064" i="2" s="1"/>
  <c r="AI896" i="2"/>
  <c r="AJ896" i="2" s="1"/>
  <c r="AK896" i="2" s="1"/>
  <c r="AL896" i="2" s="1"/>
  <c r="AN896" i="2" s="1"/>
  <c r="AI869" i="2"/>
  <c r="AJ869" i="2" s="1"/>
  <c r="AK869" i="2" s="1"/>
  <c r="AL869" i="2" s="1"/>
  <c r="AN869" i="2" s="1"/>
  <c r="O16" i="1" s="1"/>
  <c r="AI850" i="2"/>
  <c r="AJ850" i="2" s="1"/>
  <c r="AK850" i="2" s="1"/>
  <c r="AL850" i="2" s="1"/>
  <c r="AN850" i="2" s="1"/>
  <c r="AI816" i="2"/>
  <c r="AJ816" i="2" s="1"/>
  <c r="AK816" i="2" s="1"/>
  <c r="AL816" i="2" s="1"/>
  <c r="AN816" i="2" s="1"/>
  <c r="AI709" i="2"/>
  <c r="AI543" i="2"/>
  <c r="AJ543" i="2" s="1"/>
  <c r="AK543" i="2" s="1"/>
  <c r="AL543" i="2" s="1"/>
  <c r="AN543" i="2" s="1"/>
  <c r="AI584" i="2"/>
  <c r="AJ584" i="2" s="1"/>
  <c r="AK584" i="2" s="1"/>
  <c r="AL584" i="2" s="1"/>
  <c r="AN584" i="2" s="1"/>
  <c r="AI402" i="2"/>
  <c r="AJ402" i="2" s="1"/>
  <c r="AI149" i="2"/>
  <c r="AJ149" i="2" s="1"/>
  <c r="AK149" i="2" s="1"/>
  <c r="AL149" i="2" s="1"/>
  <c r="AN149" i="2" s="1"/>
  <c r="AI721" i="2"/>
  <c r="AJ721" i="2" s="1"/>
  <c r="AK721" i="2" s="1"/>
  <c r="AL721" i="2" s="1"/>
  <c r="AN721" i="2" s="1"/>
  <c r="AI1256" i="2"/>
  <c r="AI1303" i="2"/>
  <c r="AJ1303" i="2" s="1"/>
  <c r="AK1303" i="2" s="1"/>
  <c r="AL1303" i="2" s="1"/>
  <c r="AN1303" i="2" s="1"/>
  <c r="AI1262" i="2"/>
  <c r="AJ1262" i="2" s="1"/>
  <c r="AK1262" i="2" s="1"/>
  <c r="AL1262" i="2" s="1"/>
  <c r="AN1262" i="2" s="1"/>
  <c r="AI1247" i="2"/>
  <c r="AJ1247" i="2" s="1"/>
  <c r="AI1176" i="2"/>
  <c r="AJ1176" i="2" s="1"/>
  <c r="AK1176" i="2" s="1"/>
  <c r="AL1176" i="2" s="1"/>
  <c r="AM1176" i="2" s="1"/>
  <c r="AN1176" i="2" s="1"/>
  <c r="AI1107" i="2"/>
  <c r="AJ1107" i="2" s="1"/>
  <c r="AK1107" i="2" s="1"/>
  <c r="AL1107" i="2" s="1"/>
  <c r="AI1148" i="2"/>
  <c r="AI1141" i="2"/>
  <c r="AJ1141" i="2" s="1"/>
  <c r="AK1141" i="2" s="1"/>
  <c r="AL1141" i="2" s="1"/>
  <c r="AI1140" i="2"/>
  <c r="AJ1140" i="2" s="1"/>
  <c r="AK1140" i="2" s="1"/>
  <c r="AL1140" i="2" s="1"/>
  <c r="AN1140" i="2" s="1"/>
  <c r="AI1068" i="2"/>
  <c r="AJ1068" i="2" s="1"/>
  <c r="AK1068" i="2" s="1"/>
  <c r="AL1068" i="2" s="1"/>
  <c r="AN1068" i="2" s="1"/>
  <c r="AI1078" i="2"/>
  <c r="AJ1078" i="2" s="1"/>
  <c r="AK1078" i="2" s="1"/>
  <c r="AL1078" i="2" s="1"/>
  <c r="AN1078" i="2" s="1"/>
  <c r="AI944" i="2"/>
  <c r="AJ944" i="2" s="1"/>
  <c r="AK944" i="2" s="1"/>
  <c r="AL944" i="2" s="1"/>
  <c r="AN944" i="2" s="1"/>
  <c r="AI905" i="2"/>
  <c r="AJ905" i="2" s="1"/>
  <c r="AK905" i="2" s="1"/>
  <c r="AL905" i="2" s="1"/>
  <c r="AN905" i="2" s="1"/>
  <c r="AI879" i="2"/>
  <c r="AJ879" i="2" s="1"/>
  <c r="AI891" i="2"/>
  <c r="AJ891" i="2" s="1"/>
  <c r="AK891" i="2" s="1"/>
  <c r="AL891" i="2" s="1"/>
  <c r="AN891" i="2" s="1"/>
  <c r="AI934" i="2"/>
  <c r="AJ934" i="2" s="1"/>
  <c r="AI667" i="2"/>
  <c r="AJ667" i="2" s="1"/>
  <c r="AI653" i="2"/>
  <c r="AJ653" i="2" s="1"/>
  <c r="AK653" i="2" s="1"/>
  <c r="AL653" i="2" s="1"/>
  <c r="AN653" i="2" s="1"/>
  <c r="AI491" i="2"/>
  <c r="AJ491" i="2" s="1"/>
  <c r="AK491" i="2" s="1"/>
  <c r="AL491" i="2" s="1"/>
  <c r="AN491" i="2" s="1"/>
  <c r="AI397" i="2"/>
  <c r="AI435" i="2"/>
  <c r="AJ435" i="2" s="1"/>
  <c r="AK435" i="2" s="1"/>
  <c r="AL435" i="2" s="1"/>
  <c r="AN435" i="2" s="1"/>
  <c r="AI164" i="2"/>
  <c r="AJ164" i="2" s="1"/>
  <c r="AK164" i="2" s="1"/>
  <c r="AL164" i="2" s="1"/>
  <c r="AN164" i="2" s="1"/>
  <c r="W1145" i="2"/>
  <c r="X1145" i="2" s="1"/>
  <c r="AI1299" i="2"/>
  <c r="AJ1299" i="2" s="1"/>
  <c r="AK1299" i="2" s="1"/>
  <c r="AL1299" i="2" s="1"/>
  <c r="AN1299" i="2" s="1"/>
  <c r="AI1297" i="2"/>
  <c r="AJ1297" i="2" s="1"/>
  <c r="AK1297" i="2" s="1"/>
  <c r="AL1297" i="2" s="1"/>
  <c r="AN1297" i="2" s="1"/>
  <c r="AI1187" i="2"/>
  <c r="AJ1187" i="2" s="1"/>
  <c r="AK1187" i="2" s="1"/>
  <c r="AL1187" i="2" s="1"/>
  <c r="AI1217" i="2"/>
  <c r="AJ1217" i="2" s="1"/>
  <c r="AK1217" i="2" s="1"/>
  <c r="AL1217" i="2" s="1"/>
  <c r="AN1217" i="2" s="1"/>
  <c r="AI1195" i="2"/>
  <c r="AJ1195" i="2" s="1"/>
  <c r="AK1195" i="2" s="1"/>
  <c r="AL1195" i="2" s="1"/>
  <c r="AI1294" i="2"/>
  <c r="AJ1294" i="2" s="1"/>
  <c r="AK1294" i="2" s="1"/>
  <c r="AL1294" i="2" s="1"/>
  <c r="AN1294" i="2" s="1"/>
  <c r="AI1300" i="2"/>
  <c r="AJ1300" i="2" s="1"/>
  <c r="AK1300" i="2" s="1"/>
  <c r="AL1300" i="2" s="1"/>
  <c r="AN1300" i="2" s="1"/>
  <c r="AI1282" i="2"/>
  <c r="AJ1282" i="2" s="1"/>
  <c r="AK1282" i="2" s="1"/>
  <c r="AL1282" i="2" s="1"/>
  <c r="AN1282" i="2" s="1"/>
  <c r="AI1205" i="2"/>
  <c r="AJ1205" i="2" s="1"/>
  <c r="AK1205" i="2" s="1"/>
  <c r="AL1205" i="2" s="1"/>
  <c r="AN1205" i="2" s="1"/>
  <c r="AI1216" i="2"/>
  <c r="AJ1216" i="2" s="1"/>
  <c r="AK1216" i="2" s="1"/>
  <c r="AL1216" i="2" s="1"/>
  <c r="AN1216" i="2" s="1"/>
  <c r="AI1198" i="2"/>
  <c r="AJ1198" i="2" s="1"/>
  <c r="AK1198" i="2" s="1"/>
  <c r="AL1198" i="2" s="1"/>
  <c r="AI1122" i="2"/>
  <c r="AJ1122" i="2" s="1"/>
  <c r="AK1122" i="2" s="1"/>
  <c r="AL1122" i="2" s="1"/>
  <c r="AI1138" i="2"/>
  <c r="AJ1138" i="2" s="1"/>
  <c r="AK1138" i="2" s="1"/>
  <c r="AL1138" i="2" s="1"/>
  <c r="AN1138" i="2" s="1"/>
  <c r="AI1115" i="2"/>
  <c r="AJ1115" i="2" s="1"/>
  <c r="AK1115" i="2" s="1"/>
  <c r="AL1115" i="2" s="1"/>
  <c r="AI1062" i="2"/>
  <c r="AJ1062" i="2" s="1"/>
  <c r="AK1062" i="2" s="1"/>
  <c r="AL1062" i="2" s="1"/>
  <c r="AN1062" i="2" s="1"/>
  <c r="AI982" i="2"/>
  <c r="AJ982" i="2" s="1"/>
  <c r="AK982" i="2" s="1"/>
  <c r="AL982" i="2" s="1"/>
  <c r="AN982" i="2" s="1"/>
  <c r="AI986" i="2"/>
  <c r="AJ986" i="2" s="1"/>
  <c r="AI998" i="2"/>
  <c r="AI808" i="2"/>
  <c r="AJ808" i="2" s="1"/>
  <c r="AK808" i="2" s="1"/>
  <c r="AL808" i="2" s="1"/>
  <c r="AN808" i="2" s="1"/>
  <c r="AJ827" i="2"/>
  <c r="AK827" i="2" s="1"/>
  <c r="AL827" i="2" s="1"/>
  <c r="AN827" i="2" s="1"/>
  <c r="AI788" i="2"/>
  <c r="AJ788" i="2" s="1"/>
  <c r="AK788" i="2" s="1"/>
  <c r="AL788" i="2" s="1"/>
  <c r="AN788" i="2" s="1"/>
  <c r="AI758" i="2"/>
  <c r="AI646" i="2"/>
  <c r="AJ646" i="2" s="1"/>
  <c r="AK646" i="2" s="1"/>
  <c r="AL646" i="2" s="1"/>
  <c r="AN646" i="2" s="1"/>
  <c r="AI637" i="2"/>
  <c r="AJ637" i="2" s="1"/>
  <c r="AK637" i="2" s="1"/>
  <c r="AL637" i="2" s="1"/>
  <c r="AN637" i="2" s="1"/>
  <c r="AI609" i="2"/>
  <c r="AJ609" i="2" s="1"/>
  <c r="AK609" i="2" s="1"/>
  <c r="AL609" i="2" s="1"/>
  <c r="AN609" i="2" s="1"/>
  <c r="AI527" i="2"/>
  <c r="AJ527" i="2" s="1"/>
  <c r="AK527" i="2" s="1"/>
  <c r="AL527" i="2" s="1"/>
  <c r="AN527" i="2" s="1"/>
  <c r="AI413" i="2"/>
  <c r="AJ413" i="2" s="1"/>
  <c r="AK413" i="2" s="1"/>
  <c r="AL413" i="2" s="1"/>
  <c r="AN413" i="2" s="1"/>
  <c r="AI270" i="2"/>
  <c r="AI104" i="2"/>
  <c r="AJ104" i="2" s="1"/>
  <c r="AK104" i="2" s="1"/>
  <c r="AL104" i="2" s="1"/>
  <c r="AN104" i="2" s="1"/>
  <c r="AI30" i="2"/>
  <c r="AJ30" i="2" s="1"/>
  <c r="AK30" i="2" s="1"/>
  <c r="AL30" i="2" s="1"/>
  <c r="AN30" i="2" s="1"/>
  <c r="V191" i="2"/>
  <c r="W191" i="2" s="1"/>
  <c r="X191" i="2" s="1"/>
  <c r="AI1102" i="2"/>
  <c r="AJ1102" i="2" s="1"/>
  <c r="AI1060" i="2"/>
  <c r="AJ1060" i="2" s="1"/>
  <c r="AK1060" i="2" s="1"/>
  <c r="AL1060" i="2" s="1"/>
  <c r="AN1060" i="2" s="1"/>
  <c r="AI1098" i="2"/>
  <c r="AI1074" i="2"/>
  <c r="AJ1074" i="2" s="1"/>
  <c r="AK1074" i="2" s="1"/>
  <c r="AL1074" i="2" s="1"/>
  <c r="AN1074" i="2" s="1"/>
  <c r="AI977" i="2"/>
  <c r="AJ977" i="2" s="1"/>
  <c r="AK977" i="2" s="1"/>
  <c r="AL977" i="2" s="1"/>
  <c r="AN977" i="2" s="1"/>
  <c r="AI995" i="2"/>
  <c r="AJ995" i="2" s="1"/>
  <c r="AK995" i="2" s="1"/>
  <c r="AL995" i="2" s="1"/>
  <c r="AN995" i="2" s="1"/>
  <c r="AI807" i="2"/>
  <c r="AJ807" i="2" s="1"/>
  <c r="AK807" i="2" s="1"/>
  <c r="AL807" i="2" s="1"/>
  <c r="AN807" i="2" s="1"/>
  <c r="AI723" i="2"/>
  <c r="AJ723" i="2" s="1"/>
  <c r="AK723" i="2" s="1"/>
  <c r="AL723" i="2" s="1"/>
  <c r="AN723" i="2" s="1"/>
  <c r="AI97" i="2"/>
  <c r="AJ97" i="2" s="1"/>
  <c r="V649" i="2"/>
  <c r="W649" i="2" s="1"/>
  <c r="X649" i="2" s="1"/>
  <c r="AI1201" i="2"/>
  <c r="AJ1201" i="2" s="1"/>
  <c r="AK1201" i="2" s="1"/>
  <c r="AL1201" i="2" s="1"/>
  <c r="AN1201" i="2" s="1"/>
  <c r="AI1150" i="2"/>
  <c r="AJ1150" i="2" s="1"/>
  <c r="AK1150" i="2" s="1"/>
  <c r="AL1150" i="2" s="1"/>
  <c r="AN1150" i="2" s="1"/>
  <c r="AI1090" i="2"/>
  <c r="AJ1090" i="2" s="1"/>
  <c r="AK1090" i="2" s="1"/>
  <c r="AL1090" i="2" s="1"/>
  <c r="AN1090" i="2" s="1"/>
  <c r="V1098" i="2"/>
  <c r="W1098" i="2" s="1"/>
  <c r="X1098" i="2" s="1"/>
  <c r="AI1052" i="2"/>
  <c r="AJ1052" i="2" s="1"/>
  <c r="AK1052" i="2" s="1"/>
  <c r="AL1052" i="2" s="1"/>
  <c r="AN1052" i="2" s="1"/>
  <c r="AI1030" i="2"/>
  <c r="AI684" i="2"/>
  <c r="AJ684" i="2" s="1"/>
  <c r="AI695" i="2"/>
  <c r="AJ695" i="2" s="1"/>
  <c r="AI520" i="2"/>
  <c r="AJ520" i="2" s="1"/>
  <c r="AK520" i="2" s="1"/>
  <c r="AL520" i="2" s="1"/>
  <c r="AN520" i="2" s="1"/>
  <c r="AJ549" i="2"/>
  <c r="AK549" i="2" s="1"/>
  <c r="AL549" i="2" s="1"/>
  <c r="AN549" i="2" s="1"/>
  <c r="AI221" i="2"/>
  <c r="AJ221" i="2" s="1"/>
  <c r="AK221" i="2" s="1"/>
  <c r="AL221" i="2" s="1"/>
  <c r="AN221" i="2" s="1"/>
  <c r="AI105" i="2"/>
  <c r="AJ105" i="2" s="1"/>
  <c r="AK105" i="2" s="1"/>
  <c r="AL105" i="2" s="1"/>
  <c r="AN105" i="2" s="1"/>
  <c r="AI103" i="2"/>
  <c r="AJ103" i="2" s="1"/>
  <c r="AK103" i="2" s="1"/>
  <c r="AL103" i="2" s="1"/>
  <c r="AN103" i="2" s="1"/>
  <c r="AI15" i="2"/>
  <c r="V215" i="2"/>
  <c r="W215" i="2" s="1"/>
  <c r="X215" i="2" s="1"/>
  <c r="AI1055" i="2"/>
  <c r="AJ1055" i="2" s="1"/>
  <c r="AK1055" i="2" s="1"/>
  <c r="AL1055" i="2" s="1"/>
  <c r="AN1055" i="2" s="1"/>
  <c r="AI1108" i="2"/>
  <c r="AJ1108" i="2" s="1"/>
  <c r="AI996" i="2"/>
  <c r="AJ996" i="2" s="1"/>
  <c r="AK996" i="2" s="1"/>
  <c r="AL996" i="2" s="1"/>
  <c r="AN996" i="2" s="1"/>
  <c r="AK988" i="2"/>
  <c r="AL988" i="2" s="1"/>
  <c r="AN988" i="2" s="1"/>
  <c r="AI988" i="2"/>
  <c r="AJ988" i="2" s="1"/>
  <c r="AI820" i="2"/>
  <c r="AJ820" i="2" s="1"/>
  <c r="AK820" i="2" s="1"/>
  <c r="AL820" i="2" s="1"/>
  <c r="AN820" i="2" s="1"/>
  <c r="AI742" i="2"/>
  <c r="AJ742" i="2" s="1"/>
  <c r="AK742" i="2" s="1"/>
  <c r="AL742" i="2" s="1"/>
  <c r="AN742" i="2" s="1"/>
  <c r="AI379" i="2"/>
  <c r="AJ379" i="2" s="1"/>
  <c r="AK379" i="2" s="1"/>
  <c r="AL379" i="2" s="1"/>
  <c r="AN379" i="2" s="1"/>
  <c r="AI392" i="2"/>
  <c r="AJ392" i="2" s="1"/>
  <c r="AI271" i="2"/>
  <c r="AJ271" i="2" s="1"/>
  <c r="AI234" i="2"/>
  <c r="W357" i="2"/>
  <c r="X357" i="2" s="1"/>
  <c r="AI1219" i="2"/>
  <c r="AJ1219" i="2" s="1"/>
  <c r="AK1219" i="2" s="1"/>
  <c r="AL1219" i="2" s="1"/>
  <c r="AN1219" i="2" s="1"/>
  <c r="AI983" i="2"/>
  <c r="AJ983" i="2" s="1"/>
  <c r="AK983" i="2" s="1"/>
  <c r="AL983" i="2" s="1"/>
  <c r="AN983" i="2" s="1"/>
  <c r="AI834" i="2"/>
  <c r="AI786" i="2"/>
  <c r="AJ786" i="2" s="1"/>
  <c r="AK786" i="2" s="1"/>
  <c r="AL786" i="2" s="1"/>
  <c r="AN786" i="2" s="1"/>
  <c r="AI591" i="2"/>
  <c r="AJ591" i="2" s="1"/>
  <c r="AK591" i="2" s="1"/>
  <c r="AL591" i="2" s="1"/>
  <c r="AN591" i="2" s="1"/>
  <c r="AI401" i="2"/>
  <c r="AJ401" i="2" s="1"/>
  <c r="AI233" i="2"/>
  <c r="W136" i="2"/>
  <c r="X136" i="2" s="1"/>
  <c r="AJ1273" i="2"/>
  <c r="AK1273" i="2" s="1"/>
  <c r="AL1273" i="2" s="1"/>
  <c r="AN1273" i="2" s="1"/>
  <c r="AI1307" i="2"/>
  <c r="AJ1307" i="2" s="1"/>
  <c r="AK1307" i="2" s="1"/>
  <c r="AL1307" i="2" s="1"/>
  <c r="AN1307" i="2" s="1"/>
  <c r="AI1086" i="2"/>
  <c r="AJ1086" i="2" s="1"/>
  <c r="AK1086" i="2" s="1"/>
  <c r="AL1086" i="2" s="1"/>
  <c r="AN1086" i="2" s="1"/>
  <c r="AI1304" i="2"/>
  <c r="AJ1304" i="2" s="1"/>
  <c r="AK1304" i="2" s="1"/>
  <c r="AL1304" i="2" s="1"/>
  <c r="AN1304" i="2" s="1"/>
  <c r="AI1265" i="2"/>
  <c r="AJ1265" i="2" s="1"/>
  <c r="AK1265" i="2" s="1"/>
  <c r="AL1265" i="2" s="1"/>
  <c r="AN1265" i="2" s="1"/>
  <c r="AJ1266" i="2"/>
  <c r="AK1266" i="2" s="1"/>
  <c r="AL1266" i="2" s="1"/>
  <c r="AN1266" i="2" s="1"/>
  <c r="AI1125" i="2"/>
  <c r="AJ1125" i="2" s="1"/>
  <c r="AK1125" i="2" s="1"/>
  <c r="AL1125" i="2" s="1"/>
  <c r="AI1075" i="2"/>
  <c r="AJ1075" i="2" s="1"/>
  <c r="AK1075" i="2" s="1"/>
  <c r="AL1075" i="2" s="1"/>
  <c r="AN1075" i="2" s="1"/>
  <c r="AI981" i="2"/>
  <c r="AJ981" i="2" s="1"/>
  <c r="AK981" i="2" s="1"/>
  <c r="AL981" i="2" s="1"/>
  <c r="AN981" i="2" s="1"/>
  <c r="AI1024" i="2"/>
  <c r="AJ1024" i="2" s="1"/>
  <c r="AK1024" i="2" s="1"/>
  <c r="AL1024" i="2" s="1"/>
  <c r="AN1024" i="2" s="1"/>
  <c r="AI958" i="2"/>
  <c r="AJ958" i="2" s="1"/>
  <c r="AK958" i="2" s="1"/>
  <c r="AL958" i="2" s="1"/>
  <c r="AN958" i="2" s="1"/>
  <c r="AI910" i="2"/>
  <c r="AJ910" i="2" s="1"/>
  <c r="AK910" i="2" s="1"/>
  <c r="AL910" i="2" s="1"/>
  <c r="AI928" i="2"/>
  <c r="AJ928" i="2" s="1"/>
  <c r="AK928" i="2" s="1"/>
  <c r="AL928" i="2" s="1"/>
  <c r="AJ875" i="2"/>
  <c r="AK875" i="2" s="1"/>
  <c r="AL875" i="2" s="1"/>
  <c r="AM875" i="2" s="1"/>
  <c r="AN875" i="2" s="1"/>
  <c r="AI703" i="2"/>
  <c r="AI267" i="2"/>
  <c r="AJ267" i="2" s="1"/>
  <c r="AK267" i="2" s="1"/>
  <c r="AL267" i="2" s="1"/>
  <c r="AI135" i="2"/>
  <c r="AJ135" i="2" s="1"/>
  <c r="AK135" i="2" s="1"/>
  <c r="AL135" i="2" s="1"/>
  <c r="AN135" i="2" s="1"/>
  <c r="AI70" i="2"/>
  <c r="AJ70" i="2" s="1"/>
  <c r="AK70" i="2" s="1"/>
  <c r="AL70" i="2" s="1"/>
  <c r="AN70" i="2" s="1"/>
  <c r="V691" i="2"/>
  <c r="W691" i="2" s="1"/>
  <c r="X691" i="2" s="1"/>
  <c r="V485" i="2"/>
  <c r="W485" i="2" s="1"/>
  <c r="X485" i="2" s="1"/>
  <c r="AI1155" i="2"/>
  <c r="AJ1155" i="2" s="1"/>
  <c r="AK1155" i="2" s="1"/>
  <c r="AL1155" i="2" s="1"/>
  <c r="AN1155" i="2" s="1"/>
  <c r="AJ1229" i="2"/>
  <c r="AK1229" i="2" s="1"/>
  <c r="AL1229" i="2" s="1"/>
  <c r="AN1229" i="2" s="1"/>
  <c r="AI1223" i="2"/>
  <c r="AJ1223" i="2" s="1"/>
  <c r="AK1223" i="2" s="1"/>
  <c r="AL1223" i="2" s="1"/>
  <c r="AN1223" i="2" s="1"/>
  <c r="AI1132" i="2"/>
  <c r="AJ1132" i="2" s="1"/>
  <c r="AK1132" i="2" s="1"/>
  <c r="AL1132" i="2" s="1"/>
  <c r="AI1142" i="2"/>
  <c r="AJ1142" i="2" s="1"/>
  <c r="AK1142" i="2" s="1"/>
  <c r="AL1142" i="2" s="1"/>
  <c r="AI906" i="2"/>
  <c r="AI857" i="2"/>
  <c r="AJ857" i="2" s="1"/>
  <c r="AI771" i="2"/>
  <c r="AJ771" i="2" s="1"/>
  <c r="AK771" i="2" s="1"/>
  <c r="AL771" i="2" s="1"/>
  <c r="AN771" i="2" s="1"/>
  <c r="AI559" i="2"/>
  <c r="AJ559" i="2" s="1"/>
  <c r="AK559" i="2" s="1"/>
  <c r="AL559" i="2" s="1"/>
  <c r="AN559" i="2" s="1"/>
  <c r="AI483" i="2"/>
  <c r="AJ483" i="2" s="1"/>
  <c r="AK483" i="2" s="1"/>
  <c r="AL483" i="2" s="1"/>
  <c r="AN483" i="2" s="1"/>
  <c r="AI387" i="2"/>
  <c r="AJ387" i="2" s="1"/>
  <c r="AI357" i="2"/>
  <c r="AI52" i="2"/>
  <c r="V712" i="2"/>
  <c r="W712" i="2" s="1"/>
  <c r="X712" i="2" s="1"/>
  <c r="AI1059" i="2"/>
  <c r="AJ1059" i="2" s="1"/>
  <c r="AK1059" i="2" s="1"/>
  <c r="AL1059" i="2" s="1"/>
  <c r="AN1059" i="2" s="1"/>
  <c r="AI238" i="2"/>
  <c r="AJ238" i="2" s="1"/>
  <c r="AK238" i="2" s="1"/>
  <c r="AL238" i="2" s="1"/>
  <c r="AI1136" i="2"/>
  <c r="AJ1136" i="2" s="1"/>
  <c r="AK1136" i="2" s="1"/>
  <c r="AL1136" i="2" s="1"/>
  <c r="AI968" i="2"/>
  <c r="AJ968" i="2" s="1"/>
  <c r="AK968" i="2" s="1"/>
  <c r="AL968" i="2" s="1"/>
  <c r="AN968" i="2" s="1"/>
  <c r="AI1236" i="2"/>
  <c r="AJ1236" i="2" s="1"/>
  <c r="AK1236" i="2" s="1"/>
  <c r="AL1236" i="2" s="1"/>
  <c r="AN1236" i="2" s="1"/>
  <c r="AI1164" i="2"/>
  <c r="AJ1164" i="2" s="1"/>
  <c r="AK1164" i="2" s="1"/>
  <c r="AL1164" i="2" s="1"/>
  <c r="AN1164" i="2" s="1"/>
  <c r="AI1279" i="2"/>
  <c r="AJ1279" i="2" s="1"/>
  <c r="AK1279" i="2" s="1"/>
  <c r="AL1279" i="2" s="1"/>
  <c r="AN1279" i="2" s="1"/>
  <c r="AI1291" i="2"/>
  <c r="AJ1291" i="2" s="1"/>
  <c r="AK1291" i="2" s="1"/>
  <c r="AL1291" i="2" s="1"/>
  <c r="AN1291" i="2" s="1"/>
  <c r="AI1253" i="2"/>
  <c r="AJ1253" i="2" s="1"/>
  <c r="AK1253" i="2" s="1"/>
  <c r="AL1253" i="2" s="1"/>
  <c r="AN1253" i="2" s="1"/>
  <c r="AI1116" i="2"/>
  <c r="AJ1116" i="2" s="1"/>
  <c r="AK1116" i="2" s="1"/>
  <c r="AL1116" i="2" s="1"/>
  <c r="AI1106" i="2"/>
  <c r="AJ1106" i="2" s="1"/>
  <c r="AI1028" i="2"/>
  <c r="AJ1028" i="2" s="1"/>
  <c r="AK1028" i="2" s="1"/>
  <c r="AL1028" i="2" s="1"/>
  <c r="AN1028" i="2" s="1"/>
  <c r="AI1058" i="2"/>
  <c r="AJ1058" i="2" s="1"/>
  <c r="AK1058" i="2" s="1"/>
  <c r="AL1058" i="2" s="1"/>
  <c r="AN1058" i="2" s="1"/>
  <c r="AI1032" i="2"/>
  <c r="AI1089" i="2"/>
  <c r="AJ1089" i="2" s="1"/>
  <c r="AK1089" i="2" s="1"/>
  <c r="AL1089" i="2" s="1"/>
  <c r="AN1089" i="2" s="1"/>
  <c r="AI965" i="2"/>
  <c r="AI897" i="2"/>
  <c r="AJ897" i="2" s="1"/>
  <c r="AK897" i="2" s="1"/>
  <c r="AL897" i="2" s="1"/>
  <c r="AN897" i="2" s="1"/>
  <c r="AI950" i="2"/>
  <c r="AJ950" i="2" s="1"/>
  <c r="AK950" i="2" s="1"/>
  <c r="AL950" i="2" s="1"/>
  <c r="AN950" i="2" s="1"/>
  <c r="AI903" i="2"/>
  <c r="AJ903" i="2" s="1"/>
  <c r="AK903" i="2" s="1"/>
  <c r="AL903" i="2" s="1"/>
  <c r="AN903" i="2" s="1"/>
  <c r="AI732" i="2"/>
  <c r="AI678" i="2"/>
  <c r="AJ678" i="2" s="1"/>
  <c r="AI497" i="2"/>
  <c r="AJ497" i="2" s="1"/>
  <c r="AK497" i="2" s="1"/>
  <c r="AL497" i="2" s="1"/>
  <c r="AN497" i="2" s="1"/>
  <c r="AI531" i="2"/>
  <c r="AJ531" i="2" s="1"/>
  <c r="AK531" i="2" s="1"/>
  <c r="AL531" i="2" s="1"/>
  <c r="AN531" i="2" s="1"/>
  <c r="AI513" i="2"/>
  <c r="AJ513" i="2" s="1"/>
  <c r="AK513" i="2" s="1"/>
  <c r="AL513" i="2" s="1"/>
  <c r="AN513" i="2" s="1"/>
  <c r="AI428" i="2"/>
  <c r="AJ428" i="2" s="1"/>
  <c r="AK428" i="2" s="1"/>
  <c r="AL428" i="2" s="1"/>
  <c r="AN428" i="2" s="1"/>
  <c r="AI344" i="2"/>
  <c r="AJ344" i="2" s="1"/>
  <c r="AI299" i="2"/>
  <c r="AJ299" i="2" s="1"/>
  <c r="AK299" i="2" s="1"/>
  <c r="AL299" i="2" s="1"/>
  <c r="AN299" i="2" s="1"/>
  <c r="AI1193" i="2"/>
  <c r="AJ1193" i="2" s="1"/>
  <c r="AK1193" i="2" s="1"/>
  <c r="AL1193" i="2" s="1"/>
  <c r="AN1193" i="2" s="1"/>
  <c r="AI1035" i="2"/>
  <c r="AJ1035" i="2" s="1"/>
  <c r="AK1035" i="2" s="1"/>
  <c r="AL1035" i="2" s="1"/>
  <c r="AN1035" i="2" s="1"/>
  <c r="AI1292" i="2"/>
  <c r="AJ1292" i="2" s="1"/>
  <c r="AK1292" i="2" s="1"/>
  <c r="AL1292" i="2" s="1"/>
  <c r="AN1292" i="2" s="1"/>
  <c r="AI1244" i="2"/>
  <c r="AJ1244" i="2" s="1"/>
  <c r="AK1244" i="2" s="1"/>
  <c r="AL1244" i="2" s="1"/>
  <c r="AN1244" i="2" s="1"/>
  <c r="AI1276" i="2"/>
  <c r="AJ1276" i="2" s="1"/>
  <c r="AK1276" i="2" s="1"/>
  <c r="AL1276" i="2" s="1"/>
  <c r="AN1276" i="2" s="1"/>
  <c r="AI1288" i="2"/>
  <c r="AJ1288" i="2" s="1"/>
  <c r="AK1288" i="2" s="1"/>
  <c r="AL1288" i="2" s="1"/>
  <c r="AN1288" i="2" s="1"/>
  <c r="AI1249" i="2"/>
  <c r="AJ1249" i="2" s="1"/>
  <c r="AK1249" i="2" s="1"/>
  <c r="AL1249" i="2" s="1"/>
  <c r="AN1249" i="2" s="1"/>
  <c r="AI1182" i="2"/>
  <c r="AJ1182" i="2" s="1"/>
  <c r="AK1182" i="2" s="1"/>
  <c r="AL1182" i="2" s="1"/>
  <c r="AI1120" i="2"/>
  <c r="AJ1120" i="2" s="1"/>
  <c r="AK1120" i="2" s="1"/>
  <c r="AL1120" i="2" s="1"/>
  <c r="AI1112" i="2"/>
  <c r="AJ1112" i="2" s="1"/>
  <c r="AI1051" i="2"/>
  <c r="AJ1051" i="2" s="1"/>
  <c r="AK1051" i="2" s="1"/>
  <c r="AL1051" i="2" s="1"/>
  <c r="AN1051" i="2" s="1"/>
  <c r="AI1007" i="2"/>
  <c r="AJ1007" i="2" s="1"/>
  <c r="AK1007" i="2" s="1"/>
  <c r="AL1007" i="2" s="1"/>
  <c r="AN1007" i="2" s="1"/>
  <c r="AI974" i="2"/>
  <c r="AJ974" i="2" s="1"/>
  <c r="AK974" i="2" s="1"/>
  <c r="AL974" i="2" s="1"/>
  <c r="AN974" i="2" s="1"/>
  <c r="AI727" i="2"/>
  <c r="AJ727" i="2" s="1"/>
  <c r="AK727" i="2" s="1"/>
  <c r="AL727" i="2" s="1"/>
  <c r="AN727" i="2" s="1"/>
  <c r="AI729" i="2"/>
  <c r="AJ729" i="2" s="1"/>
  <c r="AI561" i="2"/>
  <c r="AJ561" i="2" s="1"/>
  <c r="AK561" i="2" s="1"/>
  <c r="AL561" i="2" s="1"/>
  <c r="AN561" i="2" s="1"/>
  <c r="AI601" i="2"/>
  <c r="AI458" i="2"/>
  <c r="AJ458" i="2" s="1"/>
  <c r="AK458" i="2" s="1"/>
  <c r="AL458" i="2" s="1"/>
  <c r="AN458" i="2" s="1"/>
  <c r="AI467" i="2"/>
  <c r="AJ467" i="2" s="1"/>
  <c r="AK467" i="2" s="1"/>
  <c r="AL467" i="2" s="1"/>
  <c r="AN467" i="2" s="1"/>
  <c r="AI545" i="2"/>
  <c r="AJ545" i="2" s="1"/>
  <c r="AK545" i="2" s="1"/>
  <c r="AL545" i="2" s="1"/>
  <c r="AN545" i="2" s="1"/>
  <c r="AI423" i="2"/>
  <c r="AI297" i="2"/>
  <c r="AJ297" i="2" s="1"/>
  <c r="AK297" i="2" s="1"/>
  <c r="AL297" i="2" s="1"/>
  <c r="AN297" i="2" s="1"/>
  <c r="AJ132" i="2"/>
  <c r="AK132" i="2" s="1"/>
  <c r="AL132" i="2" s="1"/>
  <c r="AN132" i="2" s="1"/>
  <c r="AI205" i="2"/>
  <c r="AJ205" i="2" s="1"/>
  <c r="AI182" i="2"/>
  <c r="AJ182" i="2" s="1"/>
  <c r="AK182" i="2" s="1"/>
  <c r="AL182" i="2" s="1"/>
  <c r="AI62" i="2"/>
  <c r="AJ62" i="2" s="1"/>
  <c r="AK62" i="2" s="1"/>
  <c r="AL62" i="2" s="1"/>
  <c r="AN62" i="2" s="1"/>
  <c r="AI1096" i="2"/>
  <c r="AJ1096" i="2" s="1"/>
  <c r="AI1157" i="2"/>
  <c r="AJ1157" i="2" s="1"/>
  <c r="AK1157" i="2" s="1"/>
  <c r="AL1157" i="2" s="1"/>
  <c r="AI1109" i="2"/>
  <c r="AJ1109" i="2" s="1"/>
  <c r="AK1109" i="2" s="1"/>
  <c r="AL1109" i="2" s="1"/>
  <c r="AI1147" i="2"/>
  <c r="AJ1147" i="2" s="1"/>
  <c r="AK1147" i="2" s="1"/>
  <c r="AL1147" i="2" s="1"/>
  <c r="AI1084" i="2"/>
  <c r="AJ1084" i="2" s="1"/>
  <c r="AK1084" i="2" s="1"/>
  <c r="AL1084" i="2" s="1"/>
  <c r="AN1084" i="2" s="1"/>
  <c r="AI1085" i="2"/>
  <c r="AI1045" i="2"/>
  <c r="AJ1045" i="2" s="1"/>
  <c r="AK1045" i="2" s="1"/>
  <c r="AL1045" i="2" s="1"/>
  <c r="AN1045" i="2" s="1"/>
  <c r="AI918" i="2"/>
  <c r="AI818" i="2"/>
  <c r="AJ818" i="2" s="1"/>
  <c r="AK818" i="2" s="1"/>
  <c r="AL818" i="2" s="1"/>
  <c r="AN818" i="2" s="1"/>
  <c r="AI762" i="2"/>
  <c r="AJ762" i="2" s="1"/>
  <c r="AK762" i="2" s="1"/>
  <c r="AL762" i="2" s="1"/>
  <c r="AN762" i="2" s="1"/>
  <c r="AI778" i="2"/>
  <c r="AI664" i="2"/>
  <c r="AJ664" i="2" s="1"/>
  <c r="AK664" i="2" s="1"/>
  <c r="AL664" i="2" s="1"/>
  <c r="AN664" i="2" s="1"/>
  <c r="AI437" i="2"/>
  <c r="AJ437" i="2" s="1"/>
  <c r="AK437" i="2" s="1"/>
  <c r="AL437" i="2" s="1"/>
  <c r="AN437" i="2" s="1"/>
  <c r="AI396" i="2"/>
  <c r="AJ396" i="2" s="1"/>
  <c r="AK396" i="2" s="1"/>
  <c r="AL396" i="2" s="1"/>
  <c r="AN396" i="2" s="1"/>
  <c r="AI281" i="2"/>
  <c r="AJ281" i="2" s="1"/>
  <c r="AI202" i="2"/>
  <c r="AJ202" i="2" s="1"/>
  <c r="AI383" i="2"/>
  <c r="V257" i="2"/>
  <c r="W257" i="2" s="1"/>
  <c r="X257" i="2" s="1"/>
  <c r="AI846" i="2"/>
  <c r="V171" i="2"/>
  <c r="AI683" i="2"/>
  <c r="AJ683" i="2" s="1"/>
  <c r="AI661" i="2"/>
  <c r="AJ661" i="2" s="1"/>
  <c r="AK661" i="2" s="1"/>
  <c r="AL661" i="2" s="1"/>
  <c r="AN661" i="2" s="1"/>
  <c r="AI673" i="2"/>
  <c r="AJ673" i="2" s="1"/>
  <c r="AI590" i="2"/>
  <c r="AJ590" i="2" s="1"/>
  <c r="AK590" i="2" s="1"/>
  <c r="AL590" i="2" s="1"/>
  <c r="AN590" i="2" s="1"/>
  <c r="AI369" i="2"/>
  <c r="AJ369" i="2" s="1"/>
  <c r="AI361" i="2"/>
  <c r="AJ361" i="2" s="1"/>
  <c r="AI385" i="2"/>
  <c r="AJ385" i="2" s="1"/>
  <c r="AK385" i="2" s="1"/>
  <c r="AL385" i="2" s="1"/>
  <c r="AN385" i="2" s="1"/>
  <c r="AI346" i="2"/>
  <c r="AJ346" i="2" s="1"/>
  <c r="AI251" i="2"/>
  <c r="AJ251" i="2" s="1"/>
  <c r="AK251" i="2" s="1"/>
  <c r="AL251" i="2" s="1"/>
  <c r="AI159" i="2"/>
  <c r="AI257" i="2"/>
  <c r="AI255" i="2"/>
  <c r="AJ255" i="2" s="1"/>
  <c r="AK255" i="2" s="1"/>
  <c r="AL255" i="2" s="1"/>
  <c r="AI219" i="2"/>
  <c r="AI186" i="2"/>
  <c r="AJ186" i="2" s="1"/>
  <c r="AI173" i="2"/>
  <c r="AJ173" i="2" s="1"/>
  <c r="AK173" i="2" s="1"/>
  <c r="AL173" i="2" s="1"/>
  <c r="AI93" i="2"/>
  <c r="AI59" i="2"/>
  <c r="AJ59" i="2" s="1"/>
  <c r="AK59" i="2" s="1"/>
  <c r="AL59" i="2" s="1"/>
  <c r="AN59" i="2" s="1"/>
  <c r="V60" i="2"/>
  <c r="W60" i="2" s="1"/>
  <c r="X60" i="2" s="1"/>
  <c r="W63" i="2"/>
  <c r="X63" i="2" s="1"/>
  <c r="W971" i="2"/>
  <c r="X971" i="2" s="1"/>
  <c r="V692" i="2"/>
  <c r="W692" i="2" s="1"/>
  <c r="X692" i="2" s="1"/>
  <c r="V345" i="2"/>
  <c r="W345" i="2" s="1"/>
  <c r="X345" i="2" s="1"/>
  <c r="W607" i="2"/>
  <c r="X607" i="2" s="1"/>
  <c r="AJ607" i="2" s="1"/>
  <c r="AK607" i="2" s="1"/>
  <c r="AL607" i="2" s="1"/>
  <c r="AN607" i="2" s="1"/>
  <c r="V52" i="2"/>
  <c r="W52" i="2" s="1"/>
  <c r="X52" i="2" s="1"/>
  <c r="W846" i="2"/>
  <c r="X846" i="2" s="1"/>
  <c r="AI345" i="2"/>
  <c r="AI328" i="2"/>
  <c r="AJ328" i="2" s="1"/>
  <c r="AK328" i="2" s="1"/>
  <c r="AL328" i="2" s="1"/>
  <c r="AN328" i="2" s="1"/>
  <c r="AI311" i="2"/>
  <c r="AJ311" i="2" s="1"/>
  <c r="AK311" i="2" s="1"/>
  <c r="AL311" i="2" s="1"/>
  <c r="AI183" i="2"/>
  <c r="AJ183" i="2" s="1"/>
  <c r="AK183" i="2" s="1"/>
  <c r="AL183" i="2" s="1"/>
  <c r="AN183" i="2" s="1"/>
  <c r="AI46" i="2"/>
  <c r="AJ46" i="2" s="1"/>
  <c r="AK46" i="2" s="1"/>
  <c r="AL46" i="2" s="1"/>
  <c r="AN46" i="2" s="1"/>
  <c r="AI54" i="2"/>
  <c r="AI9" i="2"/>
  <c r="AJ9" i="2" s="1"/>
  <c r="AK9" i="2" s="1"/>
  <c r="AL9" i="2" s="1"/>
  <c r="AN9" i="2" s="1"/>
  <c r="AI213" i="2"/>
  <c r="AJ213" i="2" s="1"/>
  <c r="AI21" i="2"/>
  <c r="AJ21" i="2" s="1"/>
  <c r="AK21" i="2" s="1"/>
  <c r="AL21" i="2" s="1"/>
  <c r="AN21" i="2" s="1"/>
  <c r="V335" i="2"/>
  <c r="W335" i="2" s="1"/>
  <c r="X335" i="2" s="1"/>
  <c r="AI964" i="2"/>
  <c r="AJ964" i="2" s="1"/>
  <c r="AK964" i="2" s="1"/>
  <c r="AL964" i="2" s="1"/>
  <c r="AN964" i="2" s="1"/>
  <c r="AI940" i="2"/>
  <c r="AJ940" i="2" s="1"/>
  <c r="AK940" i="2" s="1"/>
  <c r="AL940" i="2" s="1"/>
  <c r="AN940" i="2" s="1"/>
  <c r="AI926" i="2"/>
  <c r="AI813" i="2"/>
  <c r="AJ813" i="2" s="1"/>
  <c r="AK813" i="2" s="1"/>
  <c r="AL813" i="2" s="1"/>
  <c r="AN813" i="2" s="1"/>
  <c r="AI749" i="2"/>
  <c r="AJ749" i="2" s="1"/>
  <c r="AK749" i="2" s="1"/>
  <c r="AL749" i="2" s="1"/>
  <c r="AN749" i="2" s="1"/>
  <c r="AI770" i="2"/>
  <c r="AJ770" i="2" s="1"/>
  <c r="AK770" i="2" s="1"/>
  <c r="AL770" i="2" s="1"/>
  <c r="AN770" i="2" s="1"/>
  <c r="AI892" i="2"/>
  <c r="AJ892" i="2" s="1"/>
  <c r="AK892" i="2" s="1"/>
  <c r="AL892" i="2" s="1"/>
  <c r="AN892" i="2" s="1"/>
  <c r="AI745" i="2"/>
  <c r="AI748" i="2"/>
  <c r="AJ748" i="2" s="1"/>
  <c r="AK748" i="2" s="1"/>
  <c r="AL748" i="2" s="1"/>
  <c r="AN748" i="2" s="1"/>
  <c r="AI712" i="2"/>
  <c r="AI611" i="2"/>
  <c r="AJ611" i="2" s="1"/>
  <c r="AK611" i="2" s="1"/>
  <c r="AL611" i="2" s="1"/>
  <c r="AN611" i="2" s="1"/>
  <c r="AI565" i="2"/>
  <c r="AJ565" i="2" s="1"/>
  <c r="AK565" i="2" s="1"/>
  <c r="AL565" i="2" s="1"/>
  <c r="AN565" i="2" s="1"/>
  <c r="AI461" i="2"/>
  <c r="AJ461" i="2" s="1"/>
  <c r="AK461" i="2" s="1"/>
  <c r="AL461" i="2" s="1"/>
  <c r="AN461" i="2" s="1"/>
  <c r="AI443" i="2"/>
  <c r="AJ443" i="2" s="1"/>
  <c r="AK443" i="2" s="1"/>
  <c r="AL443" i="2" s="1"/>
  <c r="AN443" i="2" s="1"/>
  <c r="AI241" i="2"/>
  <c r="AJ241" i="2" s="1"/>
  <c r="AK241" i="2" s="1"/>
  <c r="AL241" i="2" s="1"/>
  <c r="AM241" i="2" s="1"/>
  <c r="AN241" i="2" s="1"/>
  <c r="AI128" i="2"/>
  <c r="AI424" i="2"/>
  <c r="AJ424" i="2" s="1"/>
  <c r="AK424" i="2" s="1"/>
  <c r="AL424" i="2" s="1"/>
  <c r="AN424" i="2" s="1"/>
  <c r="AI203" i="2"/>
  <c r="AJ203" i="2" s="1"/>
  <c r="AI157" i="2"/>
  <c r="AJ157" i="2" s="1"/>
  <c r="AK157" i="2" s="1"/>
  <c r="AL157" i="2" s="1"/>
  <c r="AI169" i="2"/>
  <c r="AI4" i="2"/>
  <c r="AN190" i="2"/>
  <c r="AI51" i="2"/>
  <c r="AJ51" i="2" s="1"/>
  <c r="AK51" i="2" s="1"/>
  <c r="AL51" i="2" s="1"/>
  <c r="AI44" i="2"/>
  <c r="AJ44" i="2" s="1"/>
  <c r="AK44" i="2" s="1"/>
  <c r="AL44" i="2" s="1"/>
  <c r="AN44" i="2" s="1"/>
  <c r="V101" i="2"/>
  <c r="W101" i="2" s="1"/>
  <c r="X101" i="2" s="1"/>
  <c r="AI68" i="2"/>
  <c r="AJ68" i="2" s="1"/>
  <c r="AK68" i="2" s="1"/>
  <c r="AL68" i="2" s="1"/>
  <c r="AN68" i="2" s="1"/>
  <c r="AI87" i="2"/>
  <c r="AI29" i="2"/>
  <c r="AJ29" i="2" s="1"/>
  <c r="AK29" i="2" s="1"/>
  <c r="AL29" i="2" s="1"/>
  <c r="AN29" i="2" s="1"/>
  <c r="AI118" i="2"/>
  <c r="AJ118" i="2" s="1"/>
  <c r="AK118" i="2" s="1"/>
  <c r="AL118" i="2" s="1"/>
  <c r="AN118" i="2" s="1"/>
  <c r="AI38" i="2"/>
  <c r="AJ38" i="2" s="1"/>
  <c r="AK38" i="2" s="1"/>
  <c r="AL38" i="2" s="1"/>
  <c r="AN38" i="2" s="1"/>
  <c r="AI830" i="2"/>
  <c r="V310" i="2"/>
  <c r="W310" i="2" s="1"/>
  <c r="X310" i="2" s="1"/>
  <c r="V303" i="2"/>
  <c r="W303" i="2" s="1"/>
  <c r="X303" i="2" s="1"/>
  <c r="V235" i="2"/>
  <c r="W235" i="2" s="1"/>
  <c r="X235" i="2" s="1"/>
  <c r="AI282" i="2"/>
  <c r="AJ282" i="2" s="1"/>
  <c r="AK282" i="2" s="1"/>
  <c r="AL282" i="2" s="1"/>
  <c r="AI63" i="2"/>
  <c r="AI56" i="2"/>
  <c r="AJ56" i="2" s="1"/>
  <c r="AK56" i="2" s="1"/>
  <c r="AL56" i="2" s="1"/>
  <c r="AN56" i="2" s="1"/>
  <c r="W1252" i="2"/>
  <c r="X1252" i="2" s="1"/>
  <c r="AI165" i="2"/>
  <c r="AJ165" i="2" s="1"/>
  <c r="AK165" i="2" s="1"/>
  <c r="AL165" i="2" s="1"/>
  <c r="AI53" i="2"/>
  <c r="AJ53" i="2" s="1"/>
  <c r="AK53" i="2" s="1"/>
  <c r="AL53" i="2" s="1"/>
  <c r="AI938" i="2"/>
  <c r="V812" i="2"/>
  <c r="W812" i="2" s="1"/>
  <c r="X812" i="2" s="1"/>
  <c r="AM203" i="2"/>
  <c r="AN203" i="2" s="1"/>
  <c r="W623" i="2"/>
  <c r="X623" i="2" s="1"/>
  <c r="V273" i="2"/>
  <c r="W273" i="2" s="1"/>
  <c r="X273" i="2" s="1"/>
  <c r="AI247" i="2"/>
  <c r="AJ247" i="2" s="1"/>
  <c r="AK247" i="2" s="1"/>
  <c r="AL247" i="2" s="1"/>
  <c r="AI225" i="2"/>
  <c r="AJ225" i="2" s="1"/>
  <c r="AK225" i="2" s="1"/>
  <c r="AL225" i="2" s="1"/>
  <c r="AI111" i="2"/>
  <c r="AJ111" i="2" s="1"/>
  <c r="AK111" i="2" s="1"/>
  <c r="AL111" i="2" s="1"/>
  <c r="AN111" i="2" s="1"/>
  <c r="AI235" i="2"/>
  <c r="AI102" i="2"/>
  <c r="AJ102" i="2" s="1"/>
  <c r="AK102" i="2" s="1"/>
  <c r="AL102" i="2" s="1"/>
  <c r="AN102" i="2" s="1"/>
  <c r="AI82" i="2"/>
  <c r="AI35" i="2"/>
  <c r="AJ35" i="2" s="1"/>
  <c r="AK35" i="2" s="1"/>
  <c r="AL35" i="2" s="1"/>
  <c r="AN35" i="2" s="1"/>
  <c r="AI41" i="2"/>
  <c r="AI50" i="2"/>
  <c r="AJ50" i="2" s="1"/>
  <c r="AK50" i="2" s="1"/>
  <c r="AL50" i="2" s="1"/>
  <c r="AN50" i="2" s="1"/>
  <c r="W397" i="2"/>
  <c r="X397" i="2" s="1"/>
  <c r="AI393" i="2"/>
  <c r="AJ393" i="2" s="1"/>
  <c r="AI342" i="2"/>
  <c r="AJ342" i="2" s="1"/>
  <c r="AI339" i="2"/>
  <c r="AJ339" i="2" s="1"/>
  <c r="AI355" i="2"/>
  <c r="AJ355" i="2" s="1"/>
  <c r="AI236" i="2"/>
  <c r="AJ236" i="2" s="1"/>
  <c r="AK236" i="2" s="1"/>
  <c r="AL236" i="2" s="1"/>
  <c r="AN236" i="2" s="1"/>
  <c r="AI333" i="2"/>
  <c r="AJ333" i="2" s="1"/>
  <c r="AK333" i="2" s="1"/>
  <c r="AL333" i="2" s="1"/>
  <c r="AN333" i="2" s="1"/>
  <c r="AI231" i="2"/>
  <c r="AJ231" i="2" s="1"/>
  <c r="AK231" i="2" s="1"/>
  <c r="AL231" i="2" s="1"/>
  <c r="AM231" i="2" s="1"/>
  <c r="AN231" i="2" s="1"/>
  <c r="AI218" i="2"/>
  <c r="AJ218" i="2" s="1"/>
  <c r="AK218" i="2" s="1"/>
  <c r="AL218" i="2" s="1"/>
  <c r="AI27" i="2"/>
  <c r="AI31" i="2"/>
  <c r="AI719" i="2"/>
  <c r="AJ719" i="2" s="1"/>
  <c r="AK719" i="2" s="1"/>
  <c r="AL719" i="2" s="1"/>
  <c r="AN719" i="2" s="1"/>
  <c r="AI741" i="2"/>
  <c r="AJ741" i="2" s="1"/>
  <c r="AK741" i="2" s="1"/>
  <c r="AL741" i="2" s="1"/>
  <c r="AN741" i="2" s="1"/>
  <c r="AI731" i="2"/>
  <c r="AJ731" i="2" s="1"/>
  <c r="AK731" i="2" s="1"/>
  <c r="AL731" i="2" s="1"/>
  <c r="AN731" i="2" s="1"/>
  <c r="AI663" i="2"/>
  <c r="AJ663" i="2" s="1"/>
  <c r="AK663" i="2" s="1"/>
  <c r="AL663" i="2" s="1"/>
  <c r="AN663" i="2" s="1"/>
  <c r="AI662" i="2"/>
  <c r="AJ662" i="2" s="1"/>
  <c r="AK662" i="2" s="1"/>
  <c r="AL662" i="2" s="1"/>
  <c r="AN662" i="2" s="1"/>
  <c r="AI495" i="2"/>
  <c r="AI455" i="2"/>
  <c r="AJ455" i="2" s="1"/>
  <c r="AK455" i="2" s="1"/>
  <c r="AL455" i="2" s="1"/>
  <c r="AN455" i="2" s="1"/>
  <c r="AI415" i="2"/>
  <c r="AJ415" i="2" s="1"/>
  <c r="AK415" i="2" s="1"/>
  <c r="AL415" i="2" s="1"/>
  <c r="AN415" i="2" s="1"/>
  <c r="AI301" i="2"/>
  <c r="AJ301" i="2" s="1"/>
  <c r="AK301" i="2" s="1"/>
  <c r="AL301" i="2" s="1"/>
  <c r="AM301" i="2" s="1"/>
  <c r="AN301" i="2" s="1"/>
  <c r="AI180" i="2"/>
  <c r="AJ180" i="2" s="1"/>
  <c r="AK180" i="2" s="1"/>
  <c r="AL180" i="2" s="1"/>
  <c r="AN180" i="2" s="1"/>
  <c r="AI139" i="2"/>
  <c r="AJ139" i="2" s="1"/>
  <c r="AI215" i="2"/>
  <c r="AI201" i="2"/>
  <c r="AJ201" i="2" s="1"/>
  <c r="AI197" i="2"/>
  <c r="AJ197" i="2" s="1"/>
  <c r="AI6" i="2"/>
  <c r="AJ6" i="2" s="1"/>
  <c r="AK6" i="2" s="1"/>
  <c r="AL6" i="2" s="1"/>
  <c r="AI244" i="2"/>
  <c r="AJ244" i="2" s="1"/>
  <c r="AK244" i="2" s="1"/>
  <c r="AL244" i="2" s="1"/>
  <c r="AI47" i="2"/>
  <c r="V938" i="2"/>
  <c r="W938" i="2" s="1"/>
  <c r="X938" i="2" s="1"/>
  <c r="AI805" i="2"/>
  <c r="AI804" i="2"/>
  <c r="AJ804" i="2" s="1"/>
  <c r="AK804" i="2" s="1"/>
  <c r="AL804" i="2" s="1"/>
  <c r="AN804" i="2" s="1"/>
  <c r="AI806" i="2"/>
  <c r="AJ806" i="2" s="1"/>
  <c r="AK806" i="2" s="1"/>
  <c r="AL806" i="2" s="1"/>
  <c r="AN806" i="2" s="1"/>
  <c r="AI713" i="2"/>
  <c r="AJ713" i="2" s="1"/>
  <c r="AK713" i="2" s="1"/>
  <c r="AL713" i="2" s="1"/>
  <c r="AN713" i="2" s="1"/>
  <c r="AI738" i="2"/>
  <c r="AJ738" i="2" s="1"/>
  <c r="AK738" i="2" s="1"/>
  <c r="AL738" i="2" s="1"/>
  <c r="AN738" i="2" s="1"/>
  <c r="AI647" i="2"/>
  <c r="AJ647" i="2" s="1"/>
  <c r="AK647" i="2" s="1"/>
  <c r="AL647" i="2" s="1"/>
  <c r="AN647" i="2" s="1"/>
  <c r="AJ694" i="2"/>
  <c r="AI744" i="2"/>
  <c r="AJ744" i="2" s="1"/>
  <c r="AK744" i="2" s="1"/>
  <c r="AL744" i="2" s="1"/>
  <c r="AN744" i="2" s="1"/>
  <c r="AI627" i="2"/>
  <c r="AI633" i="2"/>
  <c r="AJ633" i="2" s="1"/>
  <c r="AK633" i="2" s="1"/>
  <c r="AL633" i="2" s="1"/>
  <c r="AN633" i="2" s="1"/>
  <c r="AI581" i="2"/>
  <c r="AI480" i="2"/>
  <c r="AJ480" i="2" s="1"/>
  <c r="AK480" i="2" s="1"/>
  <c r="AL480" i="2" s="1"/>
  <c r="AN480" i="2" s="1"/>
  <c r="AI451" i="2"/>
  <c r="AJ451" i="2" s="1"/>
  <c r="AK451" i="2" s="1"/>
  <c r="AL451" i="2" s="1"/>
  <c r="AN451" i="2" s="1"/>
  <c r="AI432" i="2"/>
  <c r="AJ432" i="2" s="1"/>
  <c r="AI482" i="2"/>
  <c r="AJ482" i="2" s="1"/>
  <c r="AK482" i="2" s="1"/>
  <c r="AL482" i="2" s="1"/>
  <c r="AN482" i="2" s="1"/>
  <c r="AI320" i="2"/>
  <c r="AI329" i="2"/>
  <c r="AJ329" i="2" s="1"/>
  <c r="AK329" i="2" s="1"/>
  <c r="AL329" i="2" s="1"/>
  <c r="AI263" i="2"/>
  <c r="AJ263" i="2" s="1"/>
  <c r="AK263" i="2" s="1"/>
  <c r="AL263" i="2" s="1"/>
  <c r="AI208" i="2"/>
  <c r="AJ208" i="2" s="1"/>
  <c r="AI144" i="2"/>
  <c r="AJ144" i="2" s="1"/>
  <c r="AK144" i="2" s="1"/>
  <c r="AL144" i="2" s="1"/>
  <c r="AI223" i="2"/>
  <c r="AJ223" i="2" s="1"/>
  <c r="AK223" i="2" s="1"/>
  <c r="AL223" i="2" s="1"/>
  <c r="AN223" i="2" s="1"/>
  <c r="AI198" i="2"/>
  <c r="AJ198" i="2" s="1"/>
  <c r="AI134" i="2"/>
  <c r="AJ134" i="2" s="1"/>
  <c r="AK134" i="2" s="1"/>
  <c r="AL134" i="2" s="1"/>
  <c r="AN134" i="2" s="1"/>
  <c r="AI36" i="2"/>
  <c r="AJ36" i="2" s="1"/>
  <c r="AK36" i="2" s="1"/>
  <c r="AL36" i="2" s="1"/>
  <c r="AN36" i="2" s="1"/>
  <c r="AI210" i="2"/>
  <c r="AJ210" i="2" s="1"/>
  <c r="AI60" i="2"/>
  <c r="V15" i="2"/>
  <c r="W15" i="2" s="1"/>
  <c r="X15" i="2" s="1"/>
  <c r="V954" i="2"/>
  <c r="W954" i="2" s="1"/>
  <c r="X954" i="2" s="1"/>
  <c r="AI860" i="2"/>
  <c r="AJ860" i="2" s="1"/>
  <c r="AK860" i="2" s="1"/>
  <c r="AL860" i="2" s="1"/>
  <c r="AI802" i="2"/>
  <c r="AJ802" i="2" s="1"/>
  <c r="AK802" i="2" s="1"/>
  <c r="AL802" i="2" s="1"/>
  <c r="AN802" i="2" s="1"/>
  <c r="AI841" i="2"/>
  <c r="AJ841" i="2" s="1"/>
  <c r="AK841" i="2" s="1"/>
  <c r="AL841" i="2" s="1"/>
  <c r="AN841" i="2" s="1"/>
  <c r="AI853" i="2"/>
  <c r="AJ853" i="2" s="1"/>
  <c r="AK853" i="2" s="1"/>
  <c r="AL853" i="2" s="1"/>
  <c r="AN853" i="2" s="1"/>
  <c r="AI685" i="2"/>
  <c r="AJ685" i="2" s="1"/>
  <c r="AI700" i="2"/>
  <c r="AJ700" i="2" s="1"/>
  <c r="AI735" i="2"/>
  <c r="AJ735" i="2" s="1"/>
  <c r="AK735" i="2" s="1"/>
  <c r="AL735" i="2" s="1"/>
  <c r="AN735" i="2" s="1"/>
  <c r="AI715" i="2"/>
  <c r="AJ715" i="2" s="1"/>
  <c r="AK715" i="2" s="1"/>
  <c r="AL715" i="2" s="1"/>
  <c r="AN715" i="2" s="1"/>
  <c r="AI631" i="2"/>
  <c r="AJ631" i="2" s="1"/>
  <c r="AK631" i="2" s="1"/>
  <c r="AL631" i="2" s="1"/>
  <c r="AN631" i="2" s="1"/>
  <c r="AI665" i="2"/>
  <c r="AJ665" i="2" s="1"/>
  <c r="AK665" i="2" s="1"/>
  <c r="AL665" i="2" s="1"/>
  <c r="AN665" i="2" s="1"/>
  <c r="AI670" i="2"/>
  <c r="AJ670" i="2" s="1"/>
  <c r="AI530" i="2"/>
  <c r="AJ530" i="2" s="1"/>
  <c r="AK530" i="2" s="1"/>
  <c r="AL530" i="2" s="1"/>
  <c r="AN530" i="2" s="1"/>
  <c r="AI534" i="2"/>
  <c r="AJ534" i="2" s="1"/>
  <c r="AK534" i="2" s="1"/>
  <c r="AL534" i="2" s="1"/>
  <c r="AN534" i="2" s="1"/>
  <c r="AI439" i="2"/>
  <c r="AI503" i="2"/>
  <c r="AJ503" i="2" s="1"/>
  <c r="AK503" i="2" s="1"/>
  <c r="AL503" i="2" s="1"/>
  <c r="AN503" i="2" s="1"/>
  <c r="AI464" i="2"/>
  <c r="AJ464" i="2" s="1"/>
  <c r="AK464" i="2" s="1"/>
  <c r="AL464" i="2" s="1"/>
  <c r="AN464" i="2" s="1"/>
  <c r="AI374" i="2"/>
  <c r="AJ374" i="2" s="1"/>
  <c r="AI352" i="2"/>
  <c r="AJ352" i="2" s="1"/>
  <c r="AI316" i="2"/>
  <c r="AI303" i="2"/>
  <c r="AI121" i="2"/>
  <c r="AJ121" i="2" s="1"/>
  <c r="AK121" i="2" s="1"/>
  <c r="AL121" i="2" s="1"/>
  <c r="AN121" i="2" s="1"/>
  <c r="AI133" i="2"/>
  <c r="AJ133" i="2" s="1"/>
  <c r="AK133" i="2" s="1"/>
  <c r="AL133" i="2" s="1"/>
  <c r="AI125" i="2"/>
  <c r="AJ125" i="2" s="1"/>
  <c r="AK125" i="2" s="1"/>
  <c r="AL125" i="2" s="1"/>
  <c r="AN125" i="2" s="1"/>
  <c r="AI19" i="2"/>
  <c r="AI119" i="2"/>
  <c r="AJ119" i="2" s="1"/>
  <c r="AK119" i="2" s="1"/>
  <c r="AL119" i="2" s="1"/>
  <c r="AN119" i="2" s="1"/>
  <c r="AI24" i="2"/>
  <c r="AI75" i="2"/>
  <c r="AJ75" i="2" s="1"/>
  <c r="AK75" i="2" s="1"/>
  <c r="AL75" i="2" s="1"/>
  <c r="AN75" i="2" s="1"/>
  <c r="AI37" i="2"/>
  <c r="AJ37" i="2" s="1"/>
  <c r="AK37" i="2" s="1"/>
  <c r="AL37" i="2" s="1"/>
  <c r="AN37" i="2" s="1"/>
  <c r="W1281" i="2"/>
  <c r="X1281" i="2" s="1"/>
  <c r="V823" i="2"/>
  <c r="W823" i="2" s="1"/>
  <c r="X823" i="2" s="1"/>
  <c r="W578" i="2"/>
  <c r="X578" i="2" s="1"/>
  <c r="AM275" i="2"/>
  <c r="AN275" i="2" s="1"/>
  <c r="X138" i="2"/>
  <c r="AJ991" i="2"/>
  <c r="AK991" i="2" s="1"/>
  <c r="AL991" i="2" s="1"/>
  <c r="AN991" i="2" s="1"/>
  <c r="AI877" i="2"/>
  <c r="AI733" i="2"/>
  <c r="AJ733" i="2" s="1"/>
  <c r="AK733" i="2" s="1"/>
  <c r="AL733" i="2" s="1"/>
  <c r="AN733" i="2" s="1"/>
  <c r="V460" i="2"/>
  <c r="W460" i="2" s="1"/>
  <c r="X460" i="2" s="1"/>
  <c r="AI460" i="2"/>
  <c r="AI365" i="2"/>
  <c r="W1091" i="2"/>
  <c r="X1091" i="2" s="1"/>
  <c r="AI1091" i="2"/>
  <c r="V1271" i="2"/>
  <c r="W1271" i="2" s="1"/>
  <c r="X1271" i="2" s="1"/>
  <c r="AI1271" i="2"/>
  <c r="AI1237" i="2"/>
  <c r="W1237" i="2"/>
  <c r="X1237" i="2" s="1"/>
  <c r="AI1180" i="2"/>
  <c r="W1180" i="2"/>
  <c r="X1180" i="2" s="1"/>
  <c r="AI1081" i="2"/>
  <c r="W1025" i="2"/>
  <c r="X1025" i="2" s="1"/>
  <c r="AI1025" i="2"/>
  <c r="V1069" i="2"/>
  <c r="W1069" i="2" s="1"/>
  <c r="X1069" i="2" s="1"/>
  <c r="AI1069" i="2"/>
  <c r="V868" i="2"/>
  <c r="W868" i="2" s="1"/>
  <c r="X868" i="2" s="1"/>
  <c r="AI868" i="2"/>
  <c r="AI886" i="2"/>
  <c r="AI923" i="2"/>
  <c r="AJ923" i="2" s="1"/>
  <c r="AK923" i="2" s="1"/>
  <c r="AL923" i="2" s="1"/>
  <c r="AN923" i="2" s="1"/>
  <c r="AI824" i="2"/>
  <c r="AJ824" i="2" s="1"/>
  <c r="AK824" i="2" s="1"/>
  <c r="AL824" i="2" s="1"/>
  <c r="AN824" i="2" s="1"/>
  <c r="AI682" i="2"/>
  <c r="AJ682" i="2" s="1"/>
  <c r="AI811" i="2"/>
  <c r="V811" i="2"/>
  <c r="W811" i="2" s="1"/>
  <c r="X811" i="2" s="1"/>
  <c r="AI699" i="2"/>
  <c r="AJ699" i="2" s="1"/>
  <c r="AI500" i="2"/>
  <c r="V500" i="2"/>
  <c r="W500" i="2" s="1"/>
  <c r="X500" i="2" s="1"/>
  <c r="AJ535" i="2"/>
  <c r="AK535" i="2" s="1"/>
  <c r="AL535" i="2" s="1"/>
  <c r="AN535" i="2" s="1"/>
  <c r="AI313" i="2"/>
  <c r="AJ313" i="2" s="1"/>
  <c r="AK313" i="2" s="1"/>
  <c r="AL313" i="2" s="1"/>
  <c r="AN313" i="2" s="1"/>
  <c r="V1287" i="2"/>
  <c r="W1287" i="2" s="1"/>
  <c r="X1287" i="2" s="1"/>
  <c r="AI1287" i="2"/>
  <c r="AI1163" i="2"/>
  <c r="V1163" i="2"/>
  <c r="W1163" i="2" s="1"/>
  <c r="X1163" i="2" s="1"/>
  <c r="V1270" i="2"/>
  <c r="W1270" i="2" s="1"/>
  <c r="X1270" i="2" s="1"/>
  <c r="AI1270" i="2"/>
  <c r="AI1127" i="2"/>
  <c r="V1104" i="2"/>
  <c r="W1104" i="2" s="1"/>
  <c r="X1104" i="2" s="1"/>
  <c r="AI1104" i="2"/>
  <c r="AI1103" i="2"/>
  <c r="AI962" i="2"/>
  <c r="AJ962" i="2" s="1"/>
  <c r="AK962" i="2" s="1"/>
  <c r="AL962" i="2" s="1"/>
  <c r="AN962" i="2" s="1"/>
  <c r="AI963" i="2"/>
  <c r="AJ963" i="2" s="1"/>
  <c r="AK963" i="2" s="1"/>
  <c r="AL963" i="2" s="1"/>
  <c r="AN963" i="2" s="1"/>
  <c r="AI978" i="2"/>
  <c r="W978" i="2"/>
  <c r="X978" i="2" s="1"/>
  <c r="AI960" i="2"/>
  <c r="AI949" i="2"/>
  <c r="AJ949" i="2" s="1"/>
  <c r="AK949" i="2" s="1"/>
  <c r="AL949" i="2" s="1"/>
  <c r="AN949" i="2" s="1"/>
  <c r="AI939" i="2"/>
  <c r="AJ939" i="2" s="1"/>
  <c r="AK939" i="2" s="1"/>
  <c r="AL939" i="2" s="1"/>
  <c r="AN939" i="2" s="1"/>
  <c r="AI822" i="2"/>
  <c r="AJ822" i="2" s="1"/>
  <c r="AK822" i="2" s="1"/>
  <c r="AL822" i="2" s="1"/>
  <c r="AN822" i="2" s="1"/>
  <c r="AI931" i="2"/>
  <c r="AJ931" i="2" s="1"/>
  <c r="AK931" i="2" s="1"/>
  <c r="AL931" i="2" s="1"/>
  <c r="AN931" i="2" s="1"/>
  <c r="AI787" i="2"/>
  <c r="AJ787" i="2" s="1"/>
  <c r="AK787" i="2" s="1"/>
  <c r="AL787" i="2" s="1"/>
  <c r="AN787" i="2" s="1"/>
  <c r="AI774" i="2"/>
  <c r="AJ774" i="2" s="1"/>
  <c r="AK774" i="2" s="1"/>
  <c r="AL774" i="2" s="1"/>
  <c r="AN774" i="2" s="1"/>
  <c r="AI768" i="2"/>
  <c r="AJ768" i="2" s="1"/>
  <c r="AK768" i="2" s="1"/>
  <c r="AL768" i="2" s="1"/>
  <c r="AN768" i="2" s="1"/>
  <c r="AI642" i="2"/>
  <c r="AJ642" i="2" s="1"/>
  <c r="AK642" i="2" s="1"/>
  <c r="AL642" i="2" s="1"/>
  <c r="AN642" i="2" s="1"/>
  <c r="AI529" i="2"/>
  <c r="AI419" i="2"/>
  <c r="AJ419" i="2" s="1"/>
  <c r="AK419" i="2" s="1"/>
  <c r="AL419" i="2" s="1"/>
  <c r="AN419" i="2" s="1"/>
  <c r="AI326" i="2"/>
  <c r="AJ326" i="2" s="1"/>
  <c r="AK326" i="2" s="1"/>
  <c r="AL326" i="2" s="1"/>
  <c r="AN326" i="2" s="1"/>
  <c r="X1290" i="2"/>
  <c r="W1290" i="2"/>
  <c r="V1290" i="2"/>
  <c r="AI1290" i="2"/>
  <c r="V1239" i="2"/>
  <c r="W1239" i="2" s="1"/>
  <c r="X1239" i="2" s="1"/>
  <c r="AI1239" i="2"/>
  <c r="AI1154" i="2"/>
  <c r="W1154" i="2"/>
  <c r="X1154" i="2" s="1"/>
  <c r="AM1100" i="2"/>
  <c r="AN1100" i="2" s="1"/>
  <c r="AM1101" i="2"/>
  <c r="AN1101" i="2" s="1"/>
  <c r="AI945" i="2"/>
  <c r="AI866" i="2"/>
  <c r="AJ866" i="2" s="1"/>
  <c r="AK866" i="2" s="1"/>
  <c r="AL866" i="2" s="1"/>
  <c r="AN866" i="2" s="1"/>
  <c r="V877" i="2"/>
  <c r="W877" i="2" s="1"/>
  <c r="X877" i="2" s="1"/>
  <c r="AI848" i="2"/>
  <c r="AJ848" i="2" s="1"/>
  <c r="AK848" i="2" s="1"/>
  <c r="AL848" i="2" s="1"/>
  <c r="W826" i="2"/>
  <c r="X826" i="2" s="1"/>
  <c r="AI826" i="2"/>
  <c r="AI842" i="2"/>
  <c r="AJ842" i="2" s="1"/>
  <c r="AK842" i="2" s="1"/>
  <c r="AL842" i="2" s="1"/>
  <c r="AI781" i="2"/>
  <c r="AJ781" i="2" s="1"/>
  <c r="AK781" i="2" s="1"/>
  <c r="AL781" i="2" s="1"/>
  <c r="AN781" i="2" s="1"/>
  <c r="AI717" i="2"/>
  <c r="V717" i="2"/>
  <c r="W717" i="2" s="1"/>
  <c r="X717" i="2" s="1"/>
  <c r="AI350" i="2"/>
  <c r="V350" i="2"/>
  <c r="W350" i="2" s="1"/>
  <c r="X350" i="2" s="1"/>
  <c r="AI307" i="2"/>
  <c r="AJ307" i="2" s="1"/>
  <c r="AK307" i="2" s="1"/>
  <c r="AL307" i="2" s="1"/>
  <c r="AN307" i="2" s="1"/>
  <c r="AI943" i="2"/>
  <c r="V852" i="2"/>
  <c r="W852" i="2" s="1"/>
  <c r="X852" i="2" s="1"/>
  <c r="AI852" i="2"/>
  <c r="AI151" i="2"/>
  <c r="AJ151" i="2" s="1"/>
  <c r="AK151" i="2" s="1"/>
  <c r="AL151" i="2" s="1"/>
  <c r="AI984" i="2"/>
  <c r="AI1241" i="2"/>
  <c r="AI1153" i="2"/>
  <c r="W1153" i="2"/>
  <c r="X1153" i="2" s="1"/>
  <c r="W1200" i="2"/>
  <c r="X1200" i="2" s="1"/>
  <c r="AI1200" i="2"/>
  <c r="AI1170" i="2"/>
  <c r="V1170" i="2"/>
  <c r="W1170" i="2" s="1"/>
  <c r="X1170" i="2" s="1"/>
  <c r="V1152" i="2"/>
  <c r="W1152" i="2" s="1"/>
  <c r="X1152" i="2" s="1"/>
  <c r="AI1152" i="2"/>
  <c r="V1129" i="2"/>
  <c r="W1129" i="2" s="1"/>
  <c r="X1129" i="2" s="1"/>
  <c r="AI1129" i="2"/>
  <c r="AI1036" i="2"/>
  <c r="V1036" i="2"/>
  <c r="W1036" i="2" s="1"/>
  <c r="X1036" i="2" s="1"/>
  <c r="V1081" i="2"/>
  <c r="W1081" i="2" s="1"/>
  <c r="X1081" i="2" s="1"/>
  <c r="V1053" i="2"/>
  <c r="W1053" i="2" s="1"/>
  <c r="X1053" i="2" s="1"/>
  <c r="AI1053" i="2"/>
  <c r="AI1021" i="2"/>
  <c r="V1021" i="2"/>
  <c r="W1021" i="2" s="1"/>
  <c r="X1021" i="2" s="1"/>
  <c r="V952" i="2"/>
  <c r="W952" i="2" s="1"/>
  <c r="X952" i="2" s="1"/>
  <c r="AI952" i="2"/>
  <c r="AI911" i="2"/>
  <c r="V911" i="2"/>
  <c r="W911" i="2" s="1"/>
  <c r="X911" i="2" s="1"/>
  <c r="AI899" i="2"/>
  <c r="AJ899" i="2" s="1"/>
  <c r="AK899" i="2" s="1"/>
  <c r="AL899" i="2" s="1"/>
  <c r="V904" i="2"/>
  <c r="W904" i="2" s="1"/>
  <c r="X904" i="2" s="1"/>
  <c r="AI904" i="2"/>
  <c r="AI941" i="2"/>
  <c r="AI828" i="2"/>
  <c r="AJ828" i="2" s="1"/>
  <c r="AK828" i="2" s="1"/>
  <c r="AL828" i="2" s="1"/>
  <c r="AN828" i="2" s="1"/>
  <c r="AI832" i="2"/>
  <c r="AI800" i="2"/>
  <c r="AJ800" i="2" s="1"/>
  <c r="AK800" i="2" s="1"/>
  <c r="AL800" i="2" s="1"/>
  <c r="AN800" i="2" s="1"/>
  <c r="AI659" i="2"/>
  <c r="V659" i="2"/>
  <c r="W659" i="2" s="1"/>
  <c r="X659" i="2" s="1"/>
  <c r="AI562" i="2"/>
  <c r="AI596" i="2"/>
  <c r="AI624" i="2"/>
  <c r="V624" i="2"/>
  <c r="W624" i="2" s="1"/>
  <c r="X624" i="2" s="1"/>
  <c r="AI343" i="2"/>
  <c r="AJ343" i="2" s="1"/>
  <c r="AM277" i="2"/>
  <c r="AN277" i="2" s="1"/>
  <c r="AJ293" i="2"/>
  <c r="AK293" i="2" s="1"/>
  <c r="AL293" i="2" s="1"/>
  <c r="AI720" i="2"/>
  <c r="V720" i="2"/>
  <c r="W720" i="2" s="1"/>
  <c r="X720" i="2" s="1"/>
  <c r="AI1196" i="2"/>
  <c r="W1196" i="2"/>
  <c r="X1196" i="2" s="1"/>
  <c r="W1057" i="2"/>
  <c r="X1057" i="2" s="1"/>
  <c r="AI1057" i="2"/>
  <c r="AI1161" i="2"/>
  <c r="AI975" i="2"/>
  <c r="V975" i="2"/>
  <c r="W975" i="2" s="1"/>
  <c r="X975" i="2" s="1"/>
  <c r="AI913" i="2"/>
  <c r="AJ913" i="2" s="1"/>
  <c r="AK913" i="2" s="1"/>
  <c r="AL913" i="2" s="1"/>
  <c r="AN913" i="2" s="1"/>
  <c r="AI1093" i="2"/>
  <c r="AJ1093" i="2" s="1"/>
  <c r="AK1093" i="2" s="1"/>
  <c r="AL1093" i="2" s="1"/>
  <c r="AN1093" i="2" s="1"/>
  <c r="AI1175" i="2"/>
  <c r="AJ1175" i="2" s="1"/>
  <c r="V1103" i="2"/>
  <c r="W1103" i="2" s="1"/>
  <c r="X1103" i="2" s="1"/>
  <c r="AI1003" i="2"/>
  <c r="AJ1003" i="2" s="1"/>
  <c r="AK1003" i="2" s="1"/>
  <c r="AL1003" i="2" s="1"/>
  <c r="AN1003" i="2" s="1"/>
  <c r="AI867" i="2"/>
  <c r="V867" i="2"/>
  <c r="W867" i="2" s="1"/>
  <c r="X867" i="2" s="1"/>
  <c r="AI772" i="2"/>
  <c r="AJ772" i="2" s="1"/>
  <c r="AK772" i="2" s="1"/>
  <c r="AL772" i="2" s="1"/>
  <c r="AN772" i="2" s="1"/>
  <c r="AI835" i="2"/>
  <c r="V835" i="2"/>
  <c r="W835" i="2" s="1"/>
  <c r="X835" i="2" s="1"/>
  <c r="AI726" i="2"/>
  <c r="AJ726" i="2" s="1"/>
  <c r="AK726" i="2" s="1"/>
  <c r="AL726" i="2" s="1"/>
  <c r="AN726" i="2" s="1"/>
  <c r="AI680" i="2"/>
  <c r="AJ680" i="2" s="1"/>
  <c r="AI677" i="2"/>
  <c r="AJ677" i="2" s="1"/>
  <c r="AI421" i="2"/>
  <c r="AI309" i="2"/>
  <c r="AJ309" i="2" s="1"/>
  <c r="AK309" i="2" s="1"/>
  <c r="AL309" i="2" s="1"/>
  <c r="AN309" i="2" s="1"/>
  <c r="V1286" i="2"/>
  <c r="W1286" i="2" s="1"/>
  <c r="X1286" i="2" s="1"/>
  <c r="AI1286" i="2"/>
  <c r="AI1073" i="2"/>
  <c r="AI1018" i="2"/>
  <c r="AI1101" i="2"/>
  <c r="W1242" i="2"/>
  <c r="X1242" i="2" s="1"/>
  <c r="AI1242" i="2"/>
  <c r="AI1285" i="2"/>
  <c r="X1285" i="2"/>
  <c r="W1285" i="2"/>
  <c r="V1255" i="2"/>
  <c r="W1255" i="2" s="1"/>
  <c r="X1255" i="2" s="1"/>
  <c r="AI1255" i="2"/>
  <c r="AI1189" i="2"/>
  <c r="AJ1189" i="2" s="1"/>
  <c r="AK1189" i="2" s="1"/>
  <c r="AL1189" i="2" s="1"/>
  <c r="AI1220" i="2"/>
  <c r="V1220" i="2"/>
  <c r="W1220" i="2" s="1"/>
  <c r="X1220" i="2" s="1"/>
  <c r="V1149" i="2"/>
  <c r="W1149" i="2" s="1"/>
  <c r="X1149" i="2" s="1"/>
  <c r="AI1149" i="2"/>
  <c r="X1094" i="2"/>
  <c r="W1094" i="2"/>
  <c r="AI1094" i="2"/>
  <c r="AI972" i="2"/>
  <c r="X972" i="2"/>
  <c r="W972" i="2"/>
  <c r="V972" i="2"/>
  <c r="W947" i="2"/>
  <c r="X947" i="2" s="1"/>
  <c r="AI947" i="2"/>
  <c r="AI930" i="2"/>
  <c r="V930" i="2"/>
  <c r="W930" i="2" s="1"/>
  <c r="X930" i="2" s="1"/>
  <c r="X979" i="2"/>
  <c r="W979" i="2"/>
  <c r="AI979" i="2"/>
  <c r="AI894" i="2"/>
  <c r="AJ894" i="2" s="1"/>
  <c r="AK894" i="2" s="1"/>
  <c r="AL894" i="2" s="1"/>
  <c r="AN894" i="2" s="1"/>
  <c r="AI920" i="2"/>
  <c r="AI803" i="2"/>
  <c r="AJ803" i="2" s="1"/>
  <c r="AK803" i="2" s="1"/>
  <c r="AL803" i="2" s="1"/>
  <c r="AN803" i="2" s="1"/>
  <c r="AI688" i="2"/>
  <c r="W688" i="2"/>
  <c r="X688" i="2" s="1"/>
  <c r="AI558" i="2"/>
  <c r="AJ558" i="2" s="1"/>
  <c r="AK558" i="2" s="1"/>
  <c r="AL558" i="2" s="1"/>
  <c r="AN558" i="2" s="1"/>
  <c r="AI566" i="2"/>
  <c r="V566" i="2"/>
  <c r="W566" i="2" s="1"/>
  <c r="X566" i="2" s="1"/>
  <c r="AI472" i="2"/>
  <c r="V472" i="2"/>
  <c r="W472" i="2" s="1"/>
  <c r="X472" i="2" s="1"/>
  <c r="AI388" i="2"/>
  <c r="V388" i="2"/>
  <c r="W388" i="2" s="1"/>
  <c r="X388" i="2" s="1"/>
  <c r="AI260" i="2"/>
  <c r="AJ260" i="2" s="1"/>
  <c r="AK260" i="2" s="1"/>
  <c r="AL260" i="2" s="1"/>
  <c r="AN260" i="2" s="1"/>
  <c r="AM142" i="2"/>
  <c r="AN142" i="2" s="1"/>
  <c r="V91" i="2"/>
  <c r="W91" i="2" s="1"/>
  <c r="X91" i="2" s="1"/>
  <c r="AI91" i="2"/>
  <c r="AI42" i="2"/>
  <c r="V42" i="2"/>
  <c r="W42" i="2" s="1"/>
  <c r="X42" i="2" s="1"/>
  <c r="V1019" i="2"/>
  <c r="W1019" i="2" s="1"/>
  <c r="X1019" i="2" s="1"/>
  <c r="AI1019" i="2"/>
  <c r="AI1298" i="2"/>
  <c r="V1298" i="2"/>
  <c r="W1298" i="2" s="1"/>
  <c r="X1298" i="2" s="1"/>
  <c r="AJ967" i="2"/>
  <c r="AK967" i="2" s="1"/>
  <c r="AL967" i="2" s="1"/>
  <c r="AN967" i="2" s="1"/>
  <c r="AI1233" i="2"/>
  <c r="AJ1233" i="2" s="1"/>
  <c r="AK1233" i="2" s="1"/>
  <c r="AL1233" i="2" s="1"/>
  <c r="AN1233" i="2" s="1"/>
  <c r="W1184" i="2"/>
  <c r="X1184" i="2" s="1"/>
  <c r="AI1184" i="2"/>
  <c r="AI1224" i="2"/>
  <c r="V1224" i="2"/>
  <c r="W1224" i="2" s="1"/>
  <c r="X1224" i="2" s="1"/>
  <c r="W1158" i="2"/>
  <c r="X1158" i="2" s="1"/>
  <c r="AI1158" i="2"/>
  <c r="AI1167" i="2"/>
  <c r="W1167" i="2"/>
  <c r="X1167" i="2" s="1"/>
  <c r="AI1209" i="2"/>
  <c r="X1209" i="2"/>
  <c r="W1209" i="2"/>
  <c r="V1209" i="2"/>
  <c r="AI1111" i="2"/>
  <c r="AJ1111" i="2" s="1"/>
  <c r="AI1039" i="2"/>
  <c r="V1039" i="2"/>
  <c r="W1039" i="2" s="1"/>
  <c r="X1039" i="2" s="1"/>
  <c r="V960" i="2"/>
  <c r="W960" i="2" s="1"/>
  <c r="X960" i="2" s="1"/>
  <c r="W961" i="2"/>
  <c r="X961" i="2" s="1"/>
  <c r="AI961" i="2"/>
  <c r="AI784" i="2"/>
  <c r="AJ784" i="2" s="1"/>
  <c r="AK784" i="2" s="1"/>
  <c r="AL784" i="2" s="1"/>
  <c r="AN784" i="2" s="1"/>
  <c r="AI763" i="2"/>
  <c r="V763" i="2"/>
  <c r="W763" i="2" s="1"/>
  <c r="X763" i="2" s="1"/>
  <c r="AI714" i="2"/>
  <c r="AI675" i="2"/>
  <c r="AJ675" i="2" s="1"/>
  <c r="AJ588" i="2"/>
  <c r="AK588" i="2" s="1"/>
  <c r="AL588" i="2" s="1"/>
  <c r="AN588" i="2" s="1"/>
  <c r="AI331" i="2"/>
  <c r="AJ331" i="2" s="1"/>
  <c r="AK331" i="2" s="1"/>
  <c r="AL331" i="2" s="1"/>
  <c r="AN331" i="2" s="1"/>
  <c r="AI1213" i="2"/>
  <c r="AI1023" i="2"/>
  <c r="V1023" i="2"/>
  <c r="W1023" i="2" s="1"/>
  <c r="X1023" i="2" s="1"/>
  <c r="AI1250" i="2"/>
  <c r="V1250" i="2"/>
  <c r="W1250" i="2" s="1"/>
  <c r="X1250" i="2" s="1"/>
  <c r="AJ1272" i="2"/>
  <c r="AK1272" i="2" s="1"/>
  <c r="AL1272" i="2" s="1"/>
  <c r="AN1272" i="2" s="1"/>
  <c r="AI1210" i="2"/>
  <c r="AJ1210" i="2" s="1"/>
  <c r="AK1210" i="2" s="1"/>
  <c r="AL1210" i="2" s="1"/>
  <c r="W1041" i="2"/>
  <c r="X1041" i="2" s="1"/>
  <c r="AI1041" i="2"/>
  <c r="AM1108" i="2"/>
  <c r="AN1108" i="2" s="1"/>
  <c r="AI1027" i="2"/>
  <c r="W1027" i="2"/>
  <c r="X1027" i="2" s="1"/>
  <c r="AI971" i="2"/>
  <c r="AI955" i="2"/>
  <c r="AJ955" i="2" s="1"/>
  <c r="AK955" i="2" s="1"/>
  <c r="AL955" i="2" s="1"/>
  <c r="AN955" i="2" s="1"/>
  <c r="AI942" i="2"/>
  <c r="V942" i="2"/>
  <c r="W942" i="2" s="1"/>
  <c r="X942" i="2" s="1"/>
  <c r="AI922" i="2"/>
  <c r="AJ922" i="2" s="1"/>
  <c r="AK922" i="2" s="1"/>
  <c r="AL922" i="2" s="1"/>
  <c r="AI925" i="2"/>
  <c r="AJ925" i="2" s="1"/>
  <c r="AK925" i="2" s="1"/>
  <c r="AL925" i="2" s="1"/>
  <c r="AN925" i="2" s="1"/>
  <c r="V945" i="2"/>
  <c r="W945" i="2" s="1"/>
  <c r="X945" i="2" s="1"/>
  <c r="AI915" i="2"/>
  <c r="AJ915" i="2" s="1"/>
  <c r="AK915" i="2" s="1"/>
  <c r="AL915" i="2" s="1"/>
  <c r="AN915" i="2" s="1"/>
  <c r="AI837" i="2"/>
  <c r="AJ837" i="2" s="1"/>
  <c r="AK837" i="2" s="1"/>
  <c r="AL837" i="2" s="1"/>
  <c r="AN837" i="2" s="1"/>
  <c r="AI829" i="2"/>
  <c r="V829" i="2"/>
  <c r="W829" i="2" s="1"/>
  <c r="X829" i="2" s="1"/>
  <c r="W701" i="2"/>
  <c r="X701" i="2" s="1"/>
  <c r="AI701" i="2"/>
  <c r="AI747" i="2"/>
  <c r="AJ747" i="2" s="1"/>
  <c r="AK747" i="2" s="1"/>
  <c r="AL747" i="2" s="1"/>
  <c r="AN747" i="2" s="1"/>
  <c r="AJ516" i="2"/>
  <c r="AK516" i="2" s="1"/>
  <c r="AL516" i="2" s="1"/>
  <c r="AN516" i="2" s="1"/>
  <c r="AI1234" i="2"/>
  <c r="X1234" i="2"/>
  <c r="W1234" i="2"/>
  <c r="AM1170" i="2"/>
  <c r="AN1170" i="2" s="1"/>
  <c r="W1097" i="2"/>
  <c r="X1097" i="2" s="1"/>
  <c r="AI1097" i="2"/>
  <c r="AI1113" i="2"/>
  <c r="V1113" i="2"/>
  <c r="W1113" i="2" s="1"/>
  <c r="X1113" i="2" s="1"/>
  <c r="W1016" i="2"/>
  <c r="X1016" i="2" s="1"/>
  <c r="AI1016" i="2"/>
  <c r="AI919" i="2"/>
  <c r="AJ919" i="2" s="1"/>
  <c r="AK919" i="2" s="1"/>
  <c r="AL919" i="2" s="1"/>
  <c r="AN919" i="2" s="1"/>
  <c r="AI951" i="2"/>
  <c r="V951" i="2"/>
  <c r="W951" i="2" s="1"/>
  <c r="X951" i="2" s="1"/>
  <c r="AI990" i="2"/>
  <c r="AJ990" i="2" s="1"/>
  <c r="AK990" i="2" s="1"/>
  <c r="AL990" i="2" s="1"/>
  <c r="AN990" i="2" s="1"/>
  <c r="AI851" i="2"/>
  <c r="V851" i="2"/>
  <c r="W851" i="2" s="1"/>
  <c r="X851" i="2" s="1"/>
  <c r="V847" i="2"/>
  <c r="W847" i="2" s="1"/>
  <c r="X847" i="2" s="1"/>
  <c r="AI847" i="2"/>
  <c r="AI114" i="2"/>
  <c r="V114" i="2"/>
  <c r="W114" i="2" s="1"/>
  <c r="X114" i="2" s="1"/>
  <c r="AI927" i="2"/>
  <c r="V927" i="2"/>
  <c r="W927" i="2" s="1"/>
  <c r="X927" i="2" s="1"/>
  <c r="V1117" i="2"/>
  <c r="W1117" i="2" s="1"/>
  <c r="X1117" i="2" s="1"/>
  <c r="AI1117" i="2"/>
  <c r="V1073" i="2"/>
  <c r="W1073" i="2" s="1"/>
  <c r="X1073" i="2" s="1"/>
  <c r="V1241" i="2"/>
  <c r="W1241" i="2" s="1"/>
  <c r="X1241" i="2" s="1"/>
  <c r="AI1212" i="2"/>
  <c r="V1254" i="2"/>
  <c r="W1254" i="2" s="1"/>
  <c r="X1254" i="2" s="1"/>
  <c r="AI1254" i="2"/>
  <c r="W1258" i="2"/>
  <c r="X1258" i="2" s="1"/>
  <c r="AI1258" i="2"/>
  <c r="V1213" i="2"/>
  <c r="W1213" i="2" s="1"/>
  <c r="X1213" i="2" s="1"/>
  <c r="V1238" i="2"/>
  <c r="W1238" i="2" s="1"/>
  <c r="X1238" i="2" s="1"/>
  <c r="AI1238" i="2"/>
  <c r="V1212" i="2"/>
  <c r="W1212" i="2" s="1"/>
  <c r="X1212" i="2" s="1"/>
  <c r="AI1174" i="2"/>
  <c r="W1174" i="2"/>
  <c r="X1174" i="2" s="1"/>
  <c r="AI1190" i="2"/>
  <c r="W1190" i="2"/>
  <c r="X1190" i="2" s="1"/>
  <c r="V1133" i="2"/>
  <c r="W1133" i="2" s="1"/>
  <c r="X1133" i="2" s="1"/>
  <c r="AI1133" i="2"/>
  <c r="AI1177" i="2"/>
  <c r="W1177" i="2"/>
  <c r="X1177" i="2" s="1"/>
  <c r="AI1083" i="2"/>
  <c r="V1083" i="2"/>
  <c r="W1083" i="2" s="1"/>
  <c r="X1083" i="2" s="1"/>
  <c r="AM1105" i="2"/>
  <c r="AN1105" i="2" s="1"/>
  <c r="AI1072" i="2"/>
  <c r="V1072" i="2"/>
  <c r="W1072" i="2" s="1"/>
  <c r="X1072" i="2" s="1"/>
  <c r="AI1070" i="2"/>
  <c r="V1037" i="2"/>
  <c r="W1037" i="2" s="1"/>
  <c r="X1037" i="2" s="1"/>
  <c r="AI1037" i="2"/>
  <c r="W1015" i="2"/>
  <c r="X1015" i="2" s="1"/>
  <c r="AI1015" i="2"/>
  <c r="AI973" i="2"/>
  <c r="AJ973" i="2" s="1"/>
  <c r="AK973" i="2" s="1"/>
  <c r="AL973" i="2" s="1"/>
  <c r="AN973" i="2" s="1"/>
  <c r="AI1004" i="2"/>
  <c r="AJ1004" i="2" s="1"/>
  <c r="AK1004" i="2" s="1"/>
  <c r="AL1004" i="2" s="1"/>
  <c r="AN1004" i="2" s="1"/>
  <c r="AI1010" i="2"/>
  <c r="AI821" i="2"/>
  <c r="AI728" i="2"/>
  <c r="AJ728" i="2" s="1"/>
  <c r="AI612" i="2"/>
  <c r="V612" i="2"/>
  <c r="W612" i="2" s="1"/>
  <c r="X612" i="2" s="1"/>
  <c r="AI560" i="2"/>
  <c r="AJ560" i="2" s="1"/>
  <c r="AK560" i="2" s="1"/>
  <c r="AL560" i="2" s="1"/>
  <c r="AN560" i="2" s="1"/>
  <c r="AI471" i="2"/>
  <c r="AJ471" i="2" s="1"/>
  <c r="AK471" i="2" s="1"/>
  <c r="AL471" i="2" s="1"/>
  <c r="AN471" i="2" s="1"/>
  <c r="AI33" i="2"/>
  <c r="AJ33" i="2" s="1"/>
  <c r="AK33" i="2" s="1"/>
  <c r="AL33" i="2" s="1"/>
  <c r="AJ1256" i="2"/>
  <c r="AK1256" i="2" s="1"/>
  <c r="AL1256" i="2" s="1"/>
  <c r="AN1256" i="2" s="1"/>
  <c r="W1228" i="2"/>
  <c r="X1228" i="2" s="1"/>
  <c r="AI1228" i="2"/>
  <c r="V1168" i="2"/>
  <c r="W1168" i="2" s="1"/>
  <c r="X1168" i="2" s="1"/>
  <c r="AI1168" i="2"/>
  <c r="AI1221" i="2"/>
  <c r="V1221" i="2"/>
  <c r="W1221" i="2" s="1"/>
  <c r="X1221" i="2" s="1"/>
  <c r="AI1173" i="2"/>
  <c r="V1101" i="2"/>
  <c r="W1101" i="2" s="1"/>
  <c r="X1101" i="2" s="1"/>
  <c r="AM1096" i="2"/>
  <c r="AN1096" i="2" s="1"/>
  <c r="AI1056" i="2"/>
  <c r="V1056" i="2"/>
  <c r="W1056" i="2" s="1"/>
  <c r="X1056" i="2" s="1"/>
  <c r="AI1043" i="2"/>
  <c r="W1043" i="2"/>
  <c r="X1043" i="2" s="1"/>
  <c r="V1018" i="2"/>
  <c r="W1018" i="2" s="1"/>
  <c r="X1018" i="2" s="1"/>
  <c r="AI1005" i="2"/>
  <c r="AJ1005" i="2" s="1"/>
  <c r="AK1005" i="2" s="1"/>
  <c r="AL1005" i="2" s="1"/>
  <c r="AN1005" i="2" s="1"/>
  <c r="AI916" i="2"/>
  <c r="V984" i="2"/>
  <c r="W984" i="2" s="1"/>
  <c r="X984" i="2" s="1"/>
  <c r="AI1020" i="2"/>
  <c r="V1020" i="2"/>
  <c r="W1020" i="2" s="1"/>
  <c r="X1020" i="2" s="1"/>
  <c r="AI890" i="2"/>
  <c r="W890" i="2"/>
  <c r="X890" i="2" s="1"/>
  <c r="AI782" i="2"/>
  <c r="AJ782" i="2" s="1"/>
  <c r="AK782" i="2" s="1"/>
  <c r="AL782" i="2" s="1"/>
  <c r="AN782" i="2" s="1"/>
  <c r="AI817" i="2"/>
  <c r="V817" i="2"/>
  <c r="W817" i="2" s="1"/>
  <c r="X817" i="2" s="1"/>
  <c r="AI261" i="2"/>
  <c r="AJ261" i="2" s="1"/>
  <c r="AK261" i="2" s="1"/>
  <c r="AL261" i="2" s="1"/>
  <c r="AI5" i="2"/>
  <c r="V1274" i="2"/>
  <c r="W1274" i="2" s="1"/>
  <c r="X1274" i="2" s="1"/>
  <c r="AI1274" i="2"/>
  <c r="AI1139" i="2"/>
  <c r="AJ1139" i="2" s="1"/>
  <c r="AK1139" i="2" s="1"/>
  <c r="AL1139" i="2" s="1"/>
  <c r="AN1139" i="2" s="1"/>
  <c r="V1161" i="2"/>
  <c r="W1161" i="2" s="1"/>
  <c r="X1161" i="2" s="1"/>
  <c r="AM1106" i="2"/>
  <c r="AN1106" i="2" s="1"/>
  <c r="V1077" i="2"/>
  <c r="W1077" i="2" s="1"/>
  <c r="X1077" i="2" s="1"/>
  <c r="AI1077" i="2"/>
  <c r="W914" i="2"/>
  <c r="X914" i="2" s="1"/>
  <c r="AI914" i="2"/>
  <c r="W969" i="2"/>
  <c r="X969" i="2" s="1"/>
  <c r="AI969" i="2"/>
  <c r="AI900" i="2"/>
  <c r="W900" i="2"/>
  <c r="X900" i="2" s="1"/>
  <c r="V554" i="2"/>
  <c r="W554" i="2" s="1"/>
  <c r="X554" i="2" s="1"/>
  <c r="AI554" i="2"/>
  <c r="W616" i="2"/>
  <c r="X616" i="2" s="1"/>
  <c r="AI616" i="2"/>
  <c r="AI486" i="2"/>
  <c r="AJ486" i="2" s="1"/>
  <c r="AK486" i="2" s="1"/>
  <c r="AL486" i="2" s="1"/>
  <c r="AN486" i="2" s="1"/>
  <c r="AI541" i="2"/>
  <c r="AI242" i="2"/>
  <c r="AI181" i="2"/>
  <c r="AJ181" i="2" s="1"/>
  <c r="AK181" i="2" s="1"/>
  <c r="AL181" i="2" s="1"/>
  <c r="AN181" i="2" s="1"/>
  <c r="AM1097" i="2"/>
  <c r="AN1097" i="2" s="1"/>
  <c r="AI409" i="2"/>
  <c r="V409" i="2"/>
  <c r="W409" i="2" s="1"/>
  <c r="X409" i="2" s="1"/>
  <c r="AI1087" i="2"/>
  <c r="V1191" i="2"/>
  <c r="W1191" i="2" s="1"/>
  <c r="X1191" i="2" s="1"/>
  <c r="AI1191" i="2"/>
  <c r="V1171" i="2"/>
  <c r="W1171" i="2" s="1"/>
  <c r="X1171" i="2" s="1"/>
  <c r="AI1171" i="2"/>
  <c r="AI1206" i="2"/>
  <c r="W1206" i="2"/>
  <c r="X1206" i="2" s="1"/>
  <c r="AM1099" i="2"/>
  <c r="AN1099" i="2" s="1"/>
  <c r="V1087" i="2"/>
  <c r="W1087" i="2" s="1"/>
  <c r="X1087" i="2" s="1"/>
  <c r="AI1009" i="2"/>
  <c r="AJ1009" i="2" s="1"/>
  <c r="AK1009" i="2" s="1"/>
  <c r="AL1009" i="2" s="1"/>
  <c r="AN1009" i="2" s="1"/>
  <c r="AI924" i="2"/>
  <c r="AJ924" i="2" s="1"/>
  <c r="AK924" i="2" s="1"/>
  <c r="AL924" i="2" s="1"/>
  <c r="AN924" i="2" s="1"/>
  <c r="AI839" i="2"/>
  <c r="AI863" i="2"/>
  <c r="AJ863" i="2" s="1"/>
  <c r="AK863" i="2" s="1"/>
  <c r="AL863" i="2" s="1"/>
  <c r="AI825" i="2"/>
  <c r="AJ825" i="2" s="1"/>
  <c r="AK825" i="2" s="1"/>
  <c r="AL825" i="2" s="1"/>
  <c r="AN825" i="2" s="1"/>
  <c r="AJ790" i="2"/>
  <c r="AK790" i="2" s="1"/>
  <c r="AL790" i="2" s="1"/>
  <c r="AN790" i="2" s="1"/>
  <c r="W569" i="2"/>
  <c r="X569" i="2" s="1"/>
  <c r="AI569" i="2"/>
  <c r="AI417" i="2"/>
  <c r="AJ417" i="2" s="1"/>
  <c r="AK417" i="2" s="1"/>
  <c r="AL417" i="2" s="1"/>
  <c r="AN417" i="2" s="1"/>
  <c r="AI154" i="2"/>
  <c r="AJ154" i="2" s="1"/>
  <c r="AK154" i="2" s="1"/>
  <c r="AL154" i="2" s="1"/>
  <c r="AN154" i="2" s="1"/>
  <c r="V365" i="2"/>
  <c r="W365" i="2" s="1"/>
  <c r="X365" i="2" s="1"/>
  <c r="AI884" i="2"/>
  <c r="V884" i="2"/>
  <c r="W884" i="2" s="1"/>
  <c r="X884" i="2" s="1"/>
  <c r="AI736" i="2"/>
  <c r="W736" i="2"/>
  <c r="X736" i="2" s="1"/>
  <c r="AI831" i="2"/>
  <c r="W831" i="2"/>
  <c r="X831" i="2" s="1"/>
  <c r="AI634" i="2"/>
  <c r="V634" i="2"/>
  <c r="W634" i="2" s="1"/>
  <c r="X634" i="2" s="1"/>
  <c r="W644" i="2"/>
  <c r="X644" i="2" s="1"/>
  <c r="AI644" i="2"/>
  <c r="V570" i="2"/>
  <c r="W570" i="2" s="1"/>
  <c r="X570" i="2" s="1"/>
  <c r="AI570" i="2"/>
  <c r="AI515" i="2"/>
  <c r="AJ515" i="2" s="1"/>
  <c r="AK515" i="2" s="1"/>
  <c r="AL515" i="2" s="1"/>
  <c r="AN515" i="2" s="1"/>
  <c r="AI572" i="2"/>
  <c r="V572" i="2"/>
  <c r="W572" i="2" s="1"/>
  <c r="X572" i="2" s="1"/>
  <c r="AI568" i="2"/>
  <c r="V568" i="2"/>
  <c r="W568" i="2" s="1"/>
  <c r="X568" i="2" s="1"/>
  <c r="AI489" i="2"/>
  <c r="AI410" i="2"/>
  <c r="AI381" i="2"/>
  <c r="W381" i="2"/>
  <c r="X381" i="2" s="1"/>
  <c r="AI330" i="2"/>
  <c r="V330" i="2"/>
  <c r="W330" i="2" s="1"/>
  <c r="X330" i="2" s="1"/>
  <c r="AI360" i="2"/>
  <c r="AM192" i="2"/>
  <c r="AN192" i="2" s="1"/>
  <c r="AI161" i="2"/>
  <c r="V161" i="2"/>
  <c r="W161" i="2" s="1"/>
  <c r="X161" i="2" s="1"/>
  <c r="AI137" i="2"/>
  <c r="W137" i="2"/>
  <c r="X137" i="2" s="1"/>
  <c r="AI349" i="2"/>
  <c r="AJ349" i="2" s="1"/>
  <c r="AJ148" i="2"/>
  <c r="AK148" i="2" s="1"/>
  <c r="AL148" i="2" s="1"/>
  <c r="AI55" i="2"/>
  <c r="V885" i="2"/>
  <c r="W885" i="2" s="1"/>
  <c r="X885" i="2" s="1"/>
  <c r="AI885" i="2"/>
  <c r="AJ833" i="2"/>
  <c r="AK833" i="2" s="1"/>
  <c r="AL833" i="2" s="1"/>
  <c r="AN833" i="2" s="1"/>
  <c r="AI815" i="2"/>
  <c r="AJ815" i="2" s="1"/>
  <c r="AK815" i="2" s="1"/>
  <c r="AL815" i="2" s="1"/>
  <c r="AN815" i="2" s="1"/>
  <c r="AI632" i="2"/>
  <c r="AI656" i="2"/>
  <c r="W656" i="2"/>
  <c r="X656" i="2" s="1"/>
  <c r="AI608" i="2"/>
  <c r="AJ608" i="2" s="1"/>
  <c r="AK608" i="2" s="1"/>
  <c r="AL608" i="2" s="1"/>
  <c r="AN608" i="2" s="1"/>
  <c r="AJ564" i="2"/>
  <c r="AK564" i="2" s="1"/>
  <c r="AL564" i="2" s="1"/>
  <c r="AN564" i="2" s="1"/>
  <c r="V658" i="2"/>
  <c r="W658" i="2" s="1"/>
  <c r="X658" i="2" s="1"/>
  <c r="AI658" i="2"/>
  <c r="AI567" i="2"/>
  <c r="V567" i="2"/>
  <c r="W567" i="2" s="1"/>
  <c r="X567" i="2" s="1"/>
  <c r="W514" i="2"/>
  <c r="X514" i="2" s="1"/>
  <c r="AI514" i="2"/>
  <c r="V499" i="2"/>
  <c r="W499" i="2" s="1"/>
  <c r="X499" i="2" s="1"/>
  <c r="AI499" i="2"/>
  <c r="AI481" i="2"/>
  <c r="W481" i="2"/>
  <c r="X481" i="2" s="1"/>
  <c r="AI427" i="2"/>
  <c r="V427" i="2"/>
  <c r="W427" i="2" s="1"/>
  <c r="X427" i="2" s="1"/>
  <c r="AI407" i="2"/>
  <c r="V407" i="2"/>
  <c r="W407" i="2" s="1"/>
  <c r="X407" i="2" s="1"/>
  <c r="AI440" i="2"/>
  <c r="W440" i="2"/>
  <c r="X440" i="2" s="1"/>
  <c r="AI318" i="2"/>
  <c r="AI286" i="2"/>
  <c r="AJ286" i="2" s="1"/>
  <c r="AI288" i="2"/>
  <c r="V382" i="2"/>
  <c r="W382" i="2" s="1"/>
  <c r="X382" i="2" s="1"/>
  <c r="AI382" i="2"/>
  <c r="AI285" i="2"/>
  <c r="AI194" i="2"/>
  <c r="AI152" i="2"/>
  <c r="W152" i="2"/>
  <c r="X152" i="2" s="1"/>
  <c r="AI858" i="2"/>
  <c r="AJ858" i="2" s="1"/>
  <c r="AK858" i="2" s="1"/>
  <c r="AL858" i="2" s="1"/>
  <c r="AI882" i="2"/>
  <c r="W882" i="2"/>
  <c r="X882" i="2" s="1"/>
  <c r="AI679" i="2"/>
  <c r="AJ679" i="2" s="1"/>
  <c r="AI621" i="2"/>
  <c r="W621" i="2"/>
  <c r="X621" i="2" s="1"/>
  <c r="AI617" i="2"/>
  <c r="V617" i="2"/>
  <c r="W617" i="2" s="1"/>
  <c r="X617" i="2" s="1"/>
  <c r="V632" i="2"/>
  <c r="W632" i="2" s="1"/>
  <c r="X632" i="2" s="1"/>
  <c r="V563" i="2"/>
  <c r="W563" i="2" s="1"/>
  <c r="X563" i="2" s="1"/>
  <c r="AI563" i="2"/>
  <c r="AI587" i="2"/>
  <c r="V587" i="2"/>
  <c r="W587" i="2" s="1"/>
  <c r="X587" i="2" s="1"/>
  <c r="AI528" i="2"/>
  <c r="AJ528" i="2" s="1"/>
  <c r="AK528" i="2" s="1"/>
  <c r="AL528" i="2" s="1"/>
  <c r="AN528" i="2" s="1"/>
  <c r="AI488" i="2"/>
  <c r="V488" i="2"/>
  <c r="W488" i="2" s="1"/>
  <c r="X488" i="2" s="1"/>
  <c r="AI552" i="2"/>
  <c r="V552" i="2"/>
  <c r="W552" i="2" s="1"/>
  <c r="X552" i="2" s="1"/>
  <c r="AI449" i="2"/>
  <c r="W449" i="2"/>
  <c r="X449" i="2" s="1"/>
  <c r="W372" i="2"/>
  <c r="X372" i="2" s="1"/>
  <c r="AI372" i="2"/>
  <c r="AI462" i="2"/>
  <c r="V462" i="2"/>
  <c r="W462" i="2" s="1"/>
  <c r="X462" i="2" s="1"/>
  <c r="AI312" i="2"/>
  <c r="W274" i="2"/>
  <c r="X274" i="2" s="1"/>
  <c r="AI274" i="2"/>
  <c r="AI209" i="2"/>
  <c r="V209" i="2"/>
  <c r="W209" i="2" s="1"/>
  <c r="X209" i="2" s="1"/>
  <c r="V49" i="2"/>
  <c r="W49" i="2" s="1"/>
  <c r="X49" i="2" s="1"/>
  <c r="AI49" i="2"/>
  <c r="AI40" i="2"/>
  <c r="AJ40" i="2" s="1"/>
  <c r="AK40" i="2" s="1"/>
  <c r="AL40" i="2" s="1"/>
  <c r="AN40" i="2" s="1"/>
  <c r="V55" i="2"/>
  <c r="W55" i="2" s="1"/>
  <c r="X55" i="2" s="1"/>
  <c r="AI751" i="2"/>
  <c r="AJ751" i="2" s="1"/>
  <c r="AK751" i="2" s="1"/>
  <c r="AL751" i="2" s="1"/>
  <c r="AN751" i="2" s="1"/>
  <c r="AI671" i="2"/>
  <c r="AI620" i="2"/>
  <c r="AJ620" i="2" s="1"/>
  <c r="AK620" i="2" s="1"/>
  <c r="AL620" i="2" s="1"/>
  <c r="AN620" i="2" s="1"/>
  <c r="V592" i="2"/>
  <c r="W592" i="2" s="1"/>
  <c r="X592" i="2" s="1"/>
  <c r="AI592" i="2"/>
  <c r="AI546" i="2"/>
  <c r="AJ546" i="2" s="1"/>
  <c r="AK546" i="2" s="1"/>
  <c r="AL546" i="2" s="1"/>
  <c r="AN546" i="2" s="1"/>
  <c r="AI582" i="2"/>
  <c r="W582" i="2"/>
  <c r="X582" i="2" s="1"/>
  <c r="AI526" i="2"/>
  <c r="AI540" i="2"/>
  <c r="AI510" i="2"/>
  <c r="W537" i="2"/>
  <c r="X537" i="2" s="1"/>
  <c r="AI537" i="2"/>
  <c r="AI448" i="2"/>
  <c r="AI408" i="2"/>
  <c r="AJ408" i="2" s="1"/>
  <c r="AK408" i="2" s="1"/>
  <c r="AL408" i="2" s="1"/>
  <c r="AN408" i="2" s="1"/>
  <c r="AI394" i="2"/>
  <c r="V394" i="2"/>
  <c r="W394" i="2" s="1"/>
  <c r="X394" i="2" s="1"/>
  <c r="V410" i="2"/>
  <c r="W410" i="2" s="1"/>
  <c r="X410" i="2" s="1"/>
  <c r="AI306" i="2"/>
  <c r="W266" i="2"/>
  <c r="X266" i="2" s="1"/>
  <c r="AI266" i="2"/>
  <c r="AM274" i="2"/>
  <c r="AN274" i="2" s="1"/>
  <c r="AI273" i="2"/>
  <c r="AI122" i="2"/>
  <c r="AJ122" i="2" s="1"/>
  <c r="AK122" i="2" s="1"/>
  <c r="AL122" i="2" s="1"/>
  <c r="AN122" i="2" s="1"/>
  <c r="AI14" i="2"/>
  <c r="AJ14" i="2" s="1"/>
  <c r="AK14" i="2" s="1"/>
  <c r="AL14" i="2" s="1"/>
  <c r="AN14" i="2" s="1"/>
  <c r="AI39" i="2"/>
  <c r="X39" i="2"/>
  <c r="W39" i="2"/>
  <c r="AI74" i="2"/>
  <c r="V74" i="2"/>
  <c r="W74" i="2" s="1"/>
  <c r="X74" i="2" s="1"/>
  <c r="AI660" i="2"/>
  <c r="AI756" i="2"/>
  <c r="W756" i="2"/>
  <c r="X756" i="2" s="1"/>
  <c r="AI650" i="2"/>
  <c r="AJ650" i="2" s="1"/>
  <c r="AK650" i="2" s="1"/>
  <c r="AL650" i="2" s="1"/>
  <c r="AN650" i="2" s="1"/>
  <c r="W598" i="2"/>
  <c r="X598" i="2" s="1"/>
  <c r="AI598" i="2"/>
  <c r="AI605" i="2"/>
  <c r="W605" i="2"/>
  <c r="X605" i="2" s="1"/>
  <c r="V579" i="2"/>
  <c r="W579" i="2" s="1"/>
  <c r="X579" i="2" s="1"/>
  <c r="AI579" i="2"/>
  <c r="V660" i="2"/>
  <c r="W660" i="2" s="1"/>
  <c r="X660" i="2" s="1"/>
  <c r="W645" i="2"/>
  <c r="X645" i="2" s="1"/>
  <c r="AI645" i="2"/>
  <c r="V595" i="2"/>
  <c r="W595" i="2" s="1"/>
  <c r="X595" i="2" s="1"/>
  <c r="AI595" i="2"/>
  <c r="V504" i="2"/>
  <c r="W504" i="2" s="1"/>
  <c r="X504" i="2" s="1"/>
  <c r="AI504" i="2"/>
  <c r="AI429" i="2"/>
  <c r="AJ429" i="2" s="1"/>
  <c r="AK429" i="2" s="1"/>
  <c r="AL429" i="2" s="1"/>
  <c r="AN429" i="2" s="1"/>
  <c r="AI446" i="2"/>
  <c r="V446" i="2"/>
  <c r="W446" i="2" s="1"/>
  <c r="X446" i="2" s="1"/>
  <c r="AI391" i="2"/>
  <c r="V391" i="2"/>
  <c r="W391" i="2" s="1"/>
  <c r="X391" i="2" s="1"/>
  <c r="W321" i="2"/>
  <c r="X321" i="2" s="1"/>
  <c r="AI321" i="2"/>
  <c r="AI412" i="2"/>
  <c r="X256" i="2"/>
  <c r="W256" i="2"/>
  <c r="AI256" i="2"/>
  <c r="AI216" i="2"/>
  <c r="W216" i="2"/>
  <c r="X216" i="2" s="1"/>
  <c r="AI145" i="2"/>
  <c r="V145" i="2"/>
  <c r="W145" i="2" s="1"/>
  <c r="X145" i="2" s="1"/>
  <c r="AI575" i="2"/>
  <c r="V575" i="2"/>
  <c r="W575" i="2" s="1"/>
  <c r="X575" i="2" s="1"/>
  <c r="V536" i="2"/>
  <c r="W536" i="2" s="1"/>
  <c r="X536" i="2" s="1"/>
  <c r="AI536" i="2"/>
  <c r="AI494" i="2"/>
  <c r="AI459" i="2"/>
  <c r="W459" i="2"/>
  <c r="X459" i="2" s="1"/>
  <c r="V502" i="2"/>
  <c r="W502" i="2" s="1"/>
  <c r="X502" i="2" s="1"/>
  <c r="AI502" i="2"/>
  <c r="AI442" i="2"/>
  <c r="AJ442" i="2" s="1"/>
  <c r="AK442" i="2" s="1"/>
  <c r="AL442" i="2" s="1"/>
  <c r="AN442" i="2" s="1"/>
  <c r="AI362" i="2"/>
  <c r="AI377" i="2"/>
  <c r="W377" i="2"/>
  <c r="X377" i="2" s="1"/>
  <c r="AI338" i="2"/>
  <c r="AI268" i="2"/>
  <c r="W246" i="2"/>
  <c r="AI246" i="2"/>
  <c r="X246" i="2"/>
  <c r="V246" i="2"/>
  <c r="AI425" i="2"/>
  <c r="AJ425" i="2" s="1"/>
  <c r="AK425" i="2" s="1"/>
  <c r="AL425" i="2" s="1"/>
  <c r="AN425" i="2" s="1"/>
  <c r="AI366" i="2"/>
  <c r="V366" i="2"/>
  <c r="W366" i="2" s="1"/>
  <c r="X366" i="2" s="1"/>
  <c r="V308" i="2"/>
  <c r="W308" i="2" s="1"/>
  <c r="X308" i="2" s="1"/>
  <c r="AI308" i="2"/>
  <c r="AM271" i="2"/>
  <c r="AN271" i="2" s="1"/>
  <c r="AI230" i="2"/>
  <c r="W230" i="2"/>
  <c r="X230" i="2" s="1"/>
  <c r="AI130" i="2"/>
  <c r="X130" i="2"/>
  <c r="W130" i="2"/>
  <c r="V130" i="2"/>
  <c r="V115" i="2"/>
  <c r="W115" i="2" s="1"/>
  <c r="X115" i="2" s="1"/>
  <c r="AI115" i="2"/>
  <c r="AI26" i="2"/>
  <c r="W26" i="2"/>
  <c r="X26" i="2" s="1"/>
  <c r="AJ171" i="2"/>
  <c r="AK171" i="2" s="1"/>
  <c r="AL171" i="2" s="1"/>
  <c r="AN171" i="2" s="1"/>
  <c r="AI798" i="2"/>
  <c r="V798" i="2"/>
  <c r="W798" i="2" s="1"/>
  <c r="X798" i="2" s="1"/>
  <c r="W676" i="2"/>
  <c r="X676" i="2" s="1"/>
  <c r="AI676" i="2"/>
  <c r="AI698" i="2"/>
  <c r="V638" i="2"/>
  <c r="W638" i="2" s="1"/>
  <c r="X638" i="2" s="1"/>
  <c r="AI638" i="2"/>
  <c r="AI594" i="2"/>
  <c r="V494" i="2"/>
  <c r="W494" i="2" s="1"/>
  <c r="X494" i="2" s="1"/>
  <c r="AI473" i="2"/>
  <c r="V473" i="2"/>
  <c r="W473" i="2" s="1"/>
  <c r="X473" i="2" s="1"/>
  <c r="AI478" i="2"/>
  <c r="V478" i="2"/>
  <c r="W478" i="2" s="1"/>
  <c r="X478" i="2" s="1"/>
  <c r="V412" i="2"/>
  <c r="W412" i="2" s="1"/>
  <c r="X412" i="2" s="1"/>
  <c r="AI378" i="2"/>
  <c r="W378" i="2"/>
  <c r="X378" i="2" s="1"/>
  <c r="AI310" i="2"/>
  <c r="AM268" i="2"/>
  <c r="AN268" i="2" s="1"/>
  <c r="V315" i="2"/>
  <c r="W315" i="2" s="1"/>
  <c r="X315" i="2" s="1"/>
  <c r="AI315" i="2"/>
  <c r="AI258" i="2"/>
  <c r="V258" i="2"/>
  <c r="W258" i="2" s="1"/>
  <c r="X258" i="2" s="1"/>
  <c r="AI193" i="2"/>
  <c r="V193" i="2"/>
  <c r="W193" i="2" s="1"/>
  <c r="X193" i="2" s="1"/>
  <c r="AM139" i="2"/>
  <c r="AN139" i="2" s="1"/>
  <c r="AI80" i="2"/>
  <c r="AJ80" i="2" s="1"/>
  <c r="AK80" i="2" s="1"/>
  <c r="AL80" i="2" s="1"/>
  <c r="AN80" i="2" s="1"/>
  <c r="AI13" i="2"/>
  <c r="V13" i="2"/>
  <c r="W13" i="2" s="1"/>
  <c r="X13" i="2" s="1"/>
  <c r="AI58" i="2"/>
  <c r="W58" i="2"/>
  <c r="X58" i="2" s="1"/>
  <c r="AI61" i="2"/>
  <c r="V61" i="2"/>
  <c r="W61" i="2" s="1"/>
  <c r="X61" i="2" s="1"/>
  <c r="AI801" i="2"/>
  <c r="W801" i="2"/>
  <c r="X801" i="2" s="1"/>
  <c r="AI754" i="2"/>
  <c r="V754" i="2"/>
  <c r="W754" i="2" s="1"/>
  <c r="X754" i="2" s="1"/>
  <c r="AI785" i="2"/>
  <c r="W785" i="2"/>
  <c r="X785" i="2" s="1"/>
  <c r="AI795" i="2"/>
  <c r="V795" i="2"/>
  <c r="W795" i="2" s="1"/>
  <c r="X795" i="2" s="1"/>
  <c r="AI769" i="2"/>
  <c r="W769" i="2"/>
  <c r="X769" i="2" s="1"/>
  <c r="V693" i="2"/>
  <c r="W693" i="2" s="1"/>
  <c r="X693" i="2" s="1"/>
  <c r="AI693" i="2"/>
  <c r="V698" i="2"/>
  <c r="W698" i="2" s="1"/>
  <c r="X698" i="2" s="1"/>
  <c r="W724" i="2"/>
  <c r="X724" i="2" s="1"/>
  <c r="AI724" i="2"/>
  <c r="AI628" i="2"/>
  <c r="AI615" i="2"/>
  <c r="V615" i="2"/>
  <c r="W615" i="2" s="1"/>
  <c r="X615" i="2" s="1"/>
  <c r="V431" i="2"/>
  <c r="W431" i="2" s="1"/>
  <c r="X431" i="2" s="1"/>
  <c r="AI431" i="2"/>
  <c r="AI469" i="2"/>
  <c r="AJ469" i="2" s="1"/>
  <c r="AK469" i="2" s="1"/>
  <c r="AL469" i="2" s="1"/>
  <c r="AN469" i="2" s="1"/>
  <c r="AI542" i="2"/>
  <c r="W542" i="2"/>
  <c r="X542" i="2" s="1"/>
  <c r="AI457" i="2"/>
  <c r="V457" i="2"/>
  <c r="W457" i="2" s="1"/>
  <c r="X457" i="2" s="1"/>
  <c r="V338" i="2"/>
  <c r="W338" i="2" s="1"/>
  <c r="X338" i="2" s="1"/>
  <c r="AI262" i="2"/>
  <c r="AJ262" i="2" s="1"/>
  <c r="AK262" i="2" s="1"/>
  <c r="AL262" i="2" s="1"/>
  <c r="AN262" i="2" s="1"/>
  <c r="AI376" i="2"/>
  <c r="AJ376" i="2" s="1"/>
  <c r="AI252" i="2"/>
  <c r="X252" i="2"/>
  <c r="W252" i="2"/>
  <c r="AM191" i="2"/>
  <c r="AN191" i="2" s="1"/>
  <c r="AM138" i="2"/>
  <c r="AN138" i="2" s="1"/>
  <c r="AJ94" i="2"/>
  <c r="AK94" i="2" s="1"/>
  <c r="AL94" i="2" s="1"/>
  <c r="AN94" i="2" s="1"/>
  <c r="V194" i="2"/>
  <c r="W194" i="2" s="1"/>
  <c r="X194" i="2" s="1"/>
  <c r="AI81" i="2"/>
  <c r="W81" i="2"/>
  <c r="X81" i="2" s="1"/>
  <c r="AI168" i="2"/>
  <c r="W168" i="2"/>
  <c r="X168" i="2" s="1"/>
  <c r="AI23" i="2"/>
  <c r="W23" i="2"/>
  <c r="X23" i="2" s="1"/>
  <c r="X162" i="2"/>
  <c r="W162" i="2"/>
  <c r="V162" i="2"/>
  <c r="AI162" i="2"/>
  <c r="AI883" i="2"/>
  <c r="V883" i="2"/>
  <c r="W883" i="2" s="1"/>
  <c r="X883" i="2" s="1"/>
  <c r="AI779" i="2"/>
  <c r="W779" i="2"/>
  <c r="X779" i="2" s="1"/>
  <c r="AI689" i="2"/>
  <c r="V689" i="2"/>
  <c r="W689" i="2" s="1"/>
  <c r="X689" i="2" s="1"/>
  <c r="AI757" i="2"/>
  <c r="AJ757" i="2" s="1"/>
  <c r="AK757" i="2" s="1"/>
  <c r="AL757" i="2" s="1"/>
  <c r="AN757" i="2" s="1"/>
  <c r="AI711" i="2"/>
  <c r="V671" i="2"/>
  <c r="W671" i="2" s="1"/>
  <c r="X671" i="2" s="1"/>
  <c r="AI629" i="2"/>
  <c r="AJ629" i="2" s="1"/>
  <c r="AK629" i="2" s="1"/>
  <c r="AL629" i="2" s="1"/>
  <c r="AN629" i="2" s="1"/>
  <c r="AI625" i="2"/>
  <c r="V625" i="2"/>
  <c r="W625" i="2" s="1"/>
  <c r="X625" i="2" s="1"/>
  <c r="V398" i="2"/>
  <c r="W398" i="2" s="1"/>
  <c r="X398" i="2" s="1"/>
  <c r="AI398" i="2"/>
  <c r="AI371" i="2"/>
  <c r="AI304" i="2"/>
  <c r="V304" i="2"/>
  <c r="W304" i="2" s="1"/>
  <c r="X304" i="2" s="1"/>
  <c r="AI296" i="2"/>
  <c r="V306" i="2"/>
  <c r="W306" i="2" s="1"/>
  <c r="X306" i="2" s="1"/>
  <c r="V362" i="2"/>
  <c r="W362" i="2" s="1"/>
  <c r="X362" i="2" s="1"/>
  <c r="V325" i="2"/>
  <c r="W325" i="2" s="1"/>
  <c r="X325" i="2" s="1"/>
  <c r="AI325" i="2"/>
  <c r="V288" i="2"/>
  <c r="W288" i="2" s="1"/>
  <c r="X288" i="2" s="1"/>
  <c r="AM269" i="2"/>
  <c r="AN269" i="2" s="1"/>
  <c r="AJ243" i="2"/>
  <c r="AK243" i="2" s="1"/>
  <c r="AL243" i="2" s="1"/>
  <c r="AI78" i="2"/>
  <c r="AI277" i="2"/>
  <c r="W277" i="2"/>
  <c r="X277" i="2" s="1"/>
  <c r="AI98" i="2"/>
  <c r="V98" i="2"/>
  <c r="W98" i="2" s="1"/>
  <c r="X98" i="2" s="1"/>
  <c r="W178" i="2"/>
  <c r="X178" i="2" s="1"/>
  <c r="AI178" i="2"/>
  <c r="V83" i="2"/>
  <c r="W83" i="2" s="1"/>
  <c r="X83" i="2" s="1"/>
  <c r="AI83" i="2"/>
  <c r="W1000" i="2"/>
  <c r="X1000" i="2" s="1"/>
  <c r="AI1000" i="2"/>
  <c r="AI889" i="2"/>
  <c r="V889" i="2"/>
  <c r="W889" i="2" s="1"/>
  <c r="X889" i="2" s="1"/>
  <c r="AI881" i="2"/>
  <c r="W881" i="2"/>
  <c r="X881" i="2" s="1"/>
  <c r="AI760" i="2"/>
  <c r="AJ760" i="2" s="1"/>
  <c r="AK760" i="2" s="1"/>
  <c r="AL760" i="2" s="1"/>
  <c r="AN760" i="2" s="1"/>
  <c r="AI880" i="2"/>
  <c r="V880" i="2"/>
  <c r="W880" i="2" s="1"/>
  <c r="X880" i="2" s="1"/>
  <c r="W874" i="2"/>
  <c r="X874" i="2" s="1"/>
  <c r="AI874" i="2"/>
  <c r="AI767" i="2"/>
  <c r="AJ767" i="2" s="1"/>
  <c r="AK767" i="2" s="1"/>
  <c r="AL767" i="2" s="1"/>
  <c r="AN767" i="2" s="1"/>
  <c r="AI752" i="2"/>
  <c r="V705" i="2"/>
  <c r="W705" i="2" s="1"/>
  <c r="X705" i="2" s="1"/>
  <c r="AI705" i="2"/>
  <c r="AI669" i="2"/>
  <c r="AI585" i="2"/>
  <c r="V586" i="2"/>
  <c r="W586" i="2" s="1"/>
  <c r="X586" i="2" s="1"/>
  <c r="AI586" i="2"/>
  <c r="AI555" i="2"/>
  <c r="AJ555" i="2" s="1"/>
  <c r="AK555" i="2" s="1"/>
  <c r="AL555" i="2" s="1"/>
  <c r="AN555" i="2" s="1"/>
  <c r="AI523" i="2"/>
  <c r="V523" i="2"/>
  <c r="W523" i="2" s="1"/>
  <c r="X523" i="2" s="1"/>
  <c r="W521" i="2"/>
  <c r="X521" i="2" s="1"/>
  <c r="AI521" i="2"/>
  <c r="AI364" i="2"/>
  <c r="AJ364" i="2" s="1"/>
  <c r="AI334" i="2"/>
  <c r="V334" i="2"/>
  <c r="W334" i="2" s="1"/>
  <c r="X334" i="2" s="1"/>
  <c r="V318" i="2"/>
  <c r="W318" i="2" s="1"/>
  <c r="X318" i="2" s="1"/>
  <c r="AI276" i="2"/>
  <c r="AJ276" i="2" s="1"/>
  <c r="W302" i="2"/>
  <c r="X302" i="2" s="1"/>
  <c r="AI302" i="2"/>
  <c r="AI248" i="2"/>
  <c r="W248" i="2"/>
  <c r="X248" i="2" s="1"/>
  <c r="V249" i="2"/>
  <c r="W249" i="2" s="1"/>
  <c r="X249" i="2" s="1"/>
  <c r="AI249" i="2"/>
  <c r="AI426" i="2"/>
  <c r="V426" i="2"/>
  <c r="W426" i="2" s="1"/>
  <c r="X426" i="2" s="1"/>
  <c r="W269" i="2"/>
  <c r="X269" i="2" s="1"/>
  <c r="AI269" i="2"/>
  <c r="AM208" i="2"/>
  <c r="AN208" i="2" s="1"/>
  <c r="AI117" i="2"/>
  <c r="AM197" i="2"/>
  <c r="AN197" i="2" s="1"/>
  <c r="X253" i="2"/>
  <c r="W253" i="2"/>
  <c r="AI253" i="2"/>
  <c r="AI110" i="2"/>
  <c r="V110" i="2"/>
  <c r="W110" i="2" s="1"/>
  <c r="X110" i="2" s="1"/>
  <c r="AI200" i="2"/>
  <c r="W200" i="2"/>
  <c r="X200" i="2" s="1"/>
  <c r="AM213" i="2"/>
  <c r="AN213" i="2" s="1"/>
  <c r="AI674" i="2"/>
  <c r="V674" i="2"/>
  <c r="W674" i="2" s="1"/>
  <c r="X674" i="2" s="1"/>
  <c r="V628" i="2"/>
  <c r="W628" i="2" s="1"/>
  <c r="X628" i="2" s="1"/>
  <c r="AI640" i="2"/>
  <c r="W640" i="2"/>
  <c r="X640" i="2" s="1"/>
  <c r="V540" i="2"/>
  <c r="W540" i="2" s="1"/>
  <c r="X540" i="2" s="1"/>
  <c r="AI539" i="2"/>
  <c r="V539" i="2"/>
  <c r="W539" i="2" s="1"/>
  <c r="X539" i="2" s="1"/>
  <c r="V448" i="2"/>
  <c r="W448" i="2" s="1"/>
  <c r="X448" i="2" s="1"/>
  <c r="V476" i="2"/>
  <c r="W476" i="2" s="1"/>
  <c r="X476" i="2" s="1"/>
  <c r="AI476" i="2"/>
  <c r="W356" i="2"/>
  <c r="X356" i="2" s="1"/>
  <c r="AI356" i="2"/>
  <c r="V414" i="2"/>
  <c r="W414" i="2" s="1"/>
  <c r="X414" i="2" s="1"/>
  <c r="AI414" i="2"/>
  <c r="V526" i="2"/>
  <c r="W526" i="2" s="1"/>
  <c r="X526" i="2" s="1"/>
  <c r="V341" i="2"/>
  <c r="W341" i="2" s="1"/>
  <c r="X341" i="2" s="1"/>
  <c r="AI341" i="2"/>
  <c r="AI287" i="2"/>
  <c r="W287" i="2"/>
  <c r="X287" i="2" s="1"/>
  <c r="V268" i="2"/>
  <c r="W268" i="2" s="1"/>
  <c r="X268" i="2" s="1"/>
  <c r="AI112" i="2"/>
  <c r="AI224" i="2"/>
  <c r="V224" i="2"/>
  <c r="W224" i="2" s="1"/>
  <c r="X224" i="2" s="1"/>
  <c r="AI107" i="2"/>
  <c r="AI76" i="2"/>
  <c r="V76" i="2"/>
  <c r="W76" i="2" s="1"/>
  <c r="X76" i="2" s="1"/>
  <c r="W895" i="2"/>
  <c r="X895" i="2" s="1"/>
  <c r="AI895" i="2"/>
  <c r="W792" i="2"/>
  <c r="X792" i="2" s="1"/>
  <c r="AI792" i="2"/>
  <c r="AI836" i="2"/>
  <c r="V836" i="2"/>
  <c r="W836" i="2" s="1"/>
  <c r="X836" i="2" s="1"/>
  <c r="AI704" i="2"/>
  <c r="W704" i="2"/>
  <c r="X704" i="2" s="1"/>
  <c r="AI622" i="2"/>
  <c r="V622" i="2"/>
  <c r="W622" i="2" s="1"/>
  <c r="X622" i="2" s="1"/>
  <c r="V594" i="2"/>
  <c r="W594" i="2" s="1"/>
  <c r="X594" i="2" s="1"/>
  <c r="AI551" i="2"/>
  <c r="W551" i="2"/>
  <c r="X551" i="2" s="1"/>
  <c r="AI519" i="2"/>
  <c r="AI433" i="2"/>
  <c r="V433" i="2"/>
  <c r="W433" i="2" s="1"/>
  <c r="X433" i="2" s="1"/>
  <c r="AI453" i="2"/>
  <c r="V453" i="2"/>
  <c r="W453" i="2" s="1"/>
  <c r="X453" i="2" s="1"/>
  <c r="W354" i="2"/>
  <c r="X354" i="2" s="1"/>
  <c r="AI354" i="2"/>
  <c r="AI292" i="2"/>
  <c r="V292" i="2"/>
  <c r="W292" i="2" s="1"/>
  <c r="X292" i="2" s="1"/>
  <c r="V278" i="2"/>
  <c r="W278" i="2" s="1"/>
  <c r="X278" i="2" s="1"/>
  <c r="AI278" i="2"/>
  <c r="V300" i="2"/>
  <c r="W300" i="2" s="1"/>
  <c r="X300" i="2" s="1"/>
  <c r="AI300" i="2"/>
  <c r="V312" i="2"/>
  <c r="W312" i="2" s="1"/>
  <c r="X312" i="2" s="1"/>
  <c r="AI284" i="2"/>
  <c r="AJ284" i="2" s="1"/>
  <c r="AK284" i="2" s="1"/>
  <c r="AL284" i="2" s="1"/>
  <c r="AN284" i="2" s="1"/>
  <c r="AI177" i="2"/>
  <c r="V177" i="2"/>
  <c r="W177" i="2" s="1"/>
  <c r="X177" i="2" s="1"/>
  <c r="V107" i="2"/>
  <c r="W107" i="2" s="1"/>
  <c r="X107" i="2" s="1"/>
  <c r="AI126" i="2"/>
  <c r="V126" i="2"/>
  <c r="W126" i="2" s="1"/>
  <c r="X126" i="2" s="1"/>
  <c r="AM200" i="2"/>
  <c r="AN200" i="2" s="1"/>
  <c r="AI45" i="2"/>
  <c r="V45" i="2"/>
  <c r="W45" i="2" s="1"/>
  <c r="X45" i="2" s="1"/>
  <c r="AI864" i="2"/>
  <c r="W864" i="2"/>
  <c r="X864" i="2" s="1"/>
  <c r="AI861" i="2"/>
  <c r="W861" i="2"/>
  <c r="X861" i="2" s="1"/>
  <c r="V711" i="2"/>
  <c r="W711" i="2" s="1"/>
  <c r="X711" i="2" s="1"/>
  <c r="W589" i="2"/>
  <c r="X589" i="2" s="1"/>
  <c r="AI589" i="2"/>
  <c r="V583" i="2"/>
  <c r="W583" i="2" s="1"/>
  <c r="X583" i="2" s="1"/>
  <c r="AI583" i="2"/>
  <c r="AI573" i="2"/>
  <c r="W573" i="2"/>
  <c r="X573" i="2" s="1"/>
  <c r="W508" i="2"/>
  <c r="X508" i="2" s="1"/>
  <c r="AI508" i="2"/>
  <c r="AI477" i="2"/>
  <c r="AJ477" i="2" s="1"/>
  <c r="AK477" i="2" s="1"/>
  <c r="AL477" i="2" s="1"/>
  <c r="AN477" i="2" s="1"/>
  <c r="W404" i="2"/>
  <c r="X404" i="2" s="1"/>
  <c r="AI404" i="2"/>
  <c r="W347" i="2"/>
  <c r="X347" i="2" s="1"/>
  <c r="AI347" i="2"/>
  <c r="AI298" i="2"/>
  <c r="AJ298" i="2" s="1"/>
  <c r="AK298" i="2" s="1"/>
  <c r="AL298" i="2" s="1"/>
  <c r="AN298" i="2" s="1"/>
  <c r="AI294" i="2"/>
  <c r="AJ294" i="2" s="1"/>
  <c r="AK294" i="2" s="1"/>
  <c r="AL294" i="2" s="1"/>
  <c r="AI254" i="2"/>
  <c r="AJ254" i="2" s="1"/>
  <c r="AK254" i="2" s="1"/>
  <c r="AL254" i="2" s="1"/>
  <c r="AI101" i="2"/>
  <c r="AI123" i="2"/>
  <c r="W123" i="2"/>
  <c r="X123" i="2" s="1"/>
  <c r="X86" i="2"/>
  <c r="W86" i="2"/>
  <c r="AI86" i="2"/>
  <c r="AI184" i="2"/>
  <c r="X184" i="2"/>
  <c r="W184" i="2"/>
  <c r="V65" i="2"/>
  <c r="W65" i="2" s="1"/>
  <c r="X65" i="2" s="1"/>
  <c r="AI65" i="2"/>
  <c r="AI71" i="2"/>
  <c r="W71" i="2"/>
  <c r="X71" i="2" s="1"/>
  <c r="AI7" i="2"/>
  <c r="W7" i="2"/>
  <c r="X7" i="2" s="1"/>
  <c r="AI10" i="2"/>
  <c r="W10" i="2"/>
  <c r="X10" i="2" s="1"/>
  <c r="AI776" i="2"/>
  <c r="AJ776" i="2" s="1"/>
  <c r="AK776" i="2" s="1"/>
  <c r="AL776" i="2" s="1"/>
  <c r="AN776" i="2" s="1"/>
  <c r="AI783" i="2"/>
  <c r="AJ783" i="2" s="1"/>
  <c r="AK783" i="2" s="1"/>
  <c r="AL783" i="2" s="1"/>
  <c r="AN783" i="2" s="1"/>
  <c r="AI739" i="2"/>
  <c r="V739" i="2"/>
  <c r="W739" i="2" s="1"/>
  <c r="X739" i="2" s="1"/>
  <c r="W708" i="2"/>
  <c r="X708" i="2" s="1"/>
  <c r="AI708" i="2"/>
  <c r="V752" i="2"/>
  <c r="W752" i="2" s="1"/>
  <c r="X752" i="2" s="1"/>
  <c r="AI604" i="2"/>
  <c r="AJ604" i="2" s="1"/>
  <c r="AK604" i="2" s="1"/>
  <c r="AL604" i="2" s="1"/>
  <c r="AN604" i="2" s="1"/>
  <c r="AI613" i="2"/>
  <c r="W613" i="2"/>
  <c r="X613" i="2" s="1"/>
  <c r="W557" i="2"/>
  <c r="X557" i="2" s="1"/>
  <c r="AI557" i="2"/>
  <c r="V585" i="2"/>
  <c r="W585" i="2" s="1"/>
  <c r="X585" i="2" s="1"/>
  <c r="AI614" i="2"/>
  <c r="AI505" i="2"/>
  <c r="AJ505" i="2" s="1"/>
  <c r="AK505" i="2" s="1"/>
  <c r="AL505" i="2" s="1"/>
  <c r="AN505" i="2" s="1"/>
  <c r="V510" i="2"/>
  <c r="W510" i="2" s="1"/>
  <c r="X510" i="2" s="1"/>
  <c r="V519" i="2"/>
  <c r="W519" i="2" s="1"/>
  <c r="X519" i="2" s="1"/>
  <c r="W511" i="2"/>
  <c r="X511" i="2" s="1"/>
  <c r="AI511" i="2"/>
  <c r="V614" i="2"/>
  <c r="W614" i="2" s="1"/>
  <c r="X614" i="2" s="1"/>
  <c r="AI444" i="2"/>
  <c r="V444" i="2"/>
  <c r="W444" i="2" s="1"/>
  <c r="X444" i="2" s="1"/>
  <c r="AI465" i="2"/>
  <c r="W465" i="2"/>
  <c r="X465" i="2" s="1"/>
  <c r="AI358" i="2"/>
  <c r="AJ358" i="2" s="1"/>
  <c r="W434" i="2"/>
  <c r="X434" i="2" s="1"/>
  <c r="AI434" i="2"/>
  <c r="AI289" i="2"/>
  <c r="V285" i="2"/>
  <c r="W285" i="2" s="1"/>
  <c r="X285" i="2" s="1"/>
  <c r="V253" i="2"/>
  <c r="V146" i="2"/>
  <c r="W146" i="2" s="1"/>
  <c r="X146" i="2" s="1"/>
  <c r="AI146" i="2"/>
  <c r="W131" i="2"/>
  <c r="X131" i="2" s="1"/>
  <c r="AI131" i="2"/>
  <c r="V39" i="2"/>
  <c r="AJ47" i="2" l="1"/>
  <c r="AK47" i="2" s="1"/>
  <c r="AL47" i="2" s="1"/>
  <c r="AN47" i="2" s="1"/>
  <c r="AJ117" i="2"/>
  <c r="AK117" i="2" s="1"/>
  <c r="AL117" i="2" s="1"/>
  <c r="AN117" i="2" s="1"/>
  <c r="AJ1277" i="2"/>
  <c r="AK1277" i="2" s="1"/>
  <c r="AL1277" i="2" s="1"/>
  <c r="AN1277" i="2" s="1"/>
  <c r="AJ732" i="2"/>
  <c r="AK732" i="2" s="1"/>
  <c r="AL732" i="2" s="1"/>
  <c r="AN732" i="2" s="1"/>
  <c r="AJ54" i="2"/>
  <c r="AK54" i="2" s="1"/>
  <c r="AL54" i="2" s="1"/>
  <c r="AN54" i="2" s="1"/>
  <c r="AJ606" i="2"/>
  <c r="AK606" i="2" s="1"/>
  <c r="AL606" i="2" s="1"/>
  <c r="AN606" i="2" s="1"/>
  <c r="AJ141" i="2"/>
  <c r="AJ601" i="2"/>
  <c r="AK601" i="2" s="1"/>
  <c r="AL601" i="2" s="1"/>
  <c r="AN601" i="2" s="1"/>
  <c r="AJ669" i="2"/>
  <c r="AJ957" i="2"/>
  <c r="AK957" i="2" s="1"/>
  <c r="AL957" i="2" s="1"/>
  <c r="AN957" i="2" s="1"/>
  <c r="AJ31" i="2"/>
  <c r="AK31" i="2" s="1"/>
  <c r="AL31" i="2" s="1"/>
  <c r="AJ27" i="2"/>
  <c r="AK27" i="2" s="1"/>
  <c r="AL27" i="2" s="1"/>
  <c r="AN27" i="2" s="1"/>
  <c r="AJ1148" i="2"/>
  <c r="AK1148" i="2" s="1"/>
  <c r="AL1148" i="2" s="1"/>
  <c r="AJ170" i="2"/>
  <c r="AK170" i="2" s="1"/>
  <c r="AL170" i="2" s="1"/>
  <c r="AN170" i="2" s="1"/>
  <c r="AJ158" i="2"/>
  <c r="AK158" i="2" s="1"/>
  <c r="AL158" i="2" s="1"/>
  <c r="AN158" i="2" s="1"/>
  <c r="AJ935" i="2"/>
  <c r="AJ548" i="2"/>
  <c r="AK548" i="2" s="1"/>
  <c r="AL548" i="2" s="1"/>
  <c r="AN548" i="2" s="1"/>
  <c r="AJ1082" i="2"/>
  <c r="AK1082" i="2" s="1"/>
  <c r="AL1082" i="2" s="1"/>
  <c r="AN1082" i="2" s="1"/>
  <c r="AJ1085" i="2"/>
  <c r="AK1085" i="2" s="1"/>
  <c r="AL1085" i="2" s="1"/>
  <c r="AN1085" i="2" s="1"/>
  <c r="AJ1181" i="2"/>
  <c r="AK1181" i="2" s="1"/>
  <c r="AL1181" i="2" s="1"/>
  <c r="AN1181" i="2" s="1"/>
  <c r="AJ489" i="2"/>
  <c r="AK489" i="2" s="1"/>
  <c r="AL489" i="2" s="1"/>
  <c r="AN489" i="2" s="1"/>
  <c r="AJ191" i="2"/>
  <c r="AJ360" i="2"/>
  <c r="AJ397" i="2"/>
  <c r="AJ954" i="2"/>
  <c r="AK954" i="2" s="1"/>
  <c r="AL954" i="2" s="1"/>
  <c r="AN954" i="2" s="1"/>
  <c r="AJ5" i="2"/>
  <c r="AK5" i="2" s="1"/>
  <c r="AL5" i="2" s="1"/>
  <c r="AN5" i="2" s="1"/>
  <c r="AJ87" i="2"/>
  <c r="AK87" i="2" s="1"/>
  <c r="AL87" i="2" s="1"/>
  <c r="AN87" i="2" s="1"/>
  <c r="N7" i="1" s="1"/>
  <c r="AJ234" i="2"/>
  <c r="AK234" i="2" s="1"/>
  <c r="AL234" i="2" s="1"/>
  <c r="AN234" i="2" s="1"/>
  <c r="AJ390" i="2"/>
  <c r="AJ270" i="2"/>
  <c r="AJ280" i="2"/>
  <c r="AJ686" i="2"/>
  <c r="AJ1235" i="2"/>
  <c r="AK1235" i="2" s="1"/>
  <c r="AL1235" i="2" s="1"/>
  <c r="AN1235" i="2" s="1"/>
  <c r="AJ812" i="2"/>
  <c r="AK812" i="2" s="1"/>
  <c r="AL812" i="2" s="1"/>
  <c r="AN812" i="2" s="1"/>
  <c r="AJ138" i="2"/>
  <c r="AJ794" i="2"/>
  <c r="AK794" i="2" s="1"/>
  <c r="AL794" i="2" s="1"/>
  <c r="AN794" i="2" s="1"/>
  <c r="AJ773" i="2"/>
  <c r="AK773" i="2" s="1"/>
  <c r="AL773" i="2" s="1"/>
  <c r="AN773" i="2" s="1"/>
  <c r="AJ873" i="2"/>
  <c r="AK873" i="2" s="1"/>
  <c r="AL873" i="2" s="1"/>
  <c r="AN873" i="2" s="1"/>
  <c r="AJ627" i="2"/>
  <c r="AK627" i="2" s="1"/>
  <c r="AL627" i="2" s="1"/>
  <c r="AN627" i="2" s="1"/>
  <c r="AJ941" i="2"/>
  <c r="AK941" i="2" s="1"/>
  <c r="AL941" i="2" s="1"/>
  <c r="AN941" i="2" s="1"/>
  <c r="AJ703" i="2"/>
  <c r="AJ233" i="2"/>
  <c r="AK233" i="2" s="1"/>
  <c r="AL233" i="2" s="1"/>
  <c r="AJ383" i="2"/>
  <c r="AJ147" i="2"/>
  <c r="AK147" i="2" s="1"/>
  <c r="AL147" i="2" s="1"/>
  <c r="AN147" i="2" s="1"/>
  <c r="AJ1050" i="2"/>
  <c r="AK1050" i="2" s="1"/>
  <c r="AL1050" i="2" s="1"/>
  <c r="AN1050" i="2" s="1"/>
  <c r="AJ1018" i="2"/>
  <c r="AK1018" i="2" s="1"/>
  <c r="AL1018" i="2" s="1"/>
  <c r="AN1018" i="2" s="1"/>
  <c r="AJ517" i="2"/>
  <c r="AK517" i="2" s="1"/>
  <c r="AL517" i="2" s="1"/>
  <c r="AN517" i="2" s="1"/>
  <c r="AJ1070" i="2"/>
  <c r="AK1070" i="2" s="1"/>
  <c r="AL1070" i="2" s="1"/>
  <c r="AN1070" i="2" s="1"/>
  <c r="AJ916" i="2"/>
  <c r="AK916" i="2" s="1"/>
  <c r="AL916" i="2" s="1"/>
  <c r="AJ998" i="2"/>
  <c r="AK998" i="2" s="1"/>
  <c r="AL998" i="2" s="1"/>
  <c r="AN998" i="2" s="1"/>
  <c r="AJ1030" i="2"/>
  <c r="AK1030" i="2" s="1"/>
  <c r="AL1030" i="2" s="1"/>
  <c r="AN1030" i="2" s="1"/>
  <c r="AJ635" i="2"/>
  <c r="AK635" i="2" s="1"/>
  <c r="AL635" i="2" s="1"/>
  <c r="AN635" i="2" s="1"/>
  <c r="AJ279" i="2"/>
  <c r="AJ830" i="2"/>
  <c r="AK830" i="2" s="1"/>
  <c r="AL830" i="2" s="1"/>
  <c r="AN830" i="2" s="1"/>
  <c r="AJ834" i="2"/>
  <c r="AK834" i="2" s="1"/>
  <c r="AL834" i="2" s="1"/>
  <c r="AN834" i="2" s="1"/>
  <c r="AJ602" i="2"/>
  <c r="AK602" i="2" s="1"/>
  <c r="AL602" i="2" s="1"/>
  <c r="AN602" i="2" s="1"/>
  <c r="AJ623" i="2"/>
  <c r="AK623" i="2" s="1"/>
  <c r="AL623" i="2" s="1"/>
  <c r="AN623" i="2" s="1"/>
  <c r="AJ78" i="2"/>
  <c r="AK78" i="2" s="1"/>
  <c r="AL78" i="2" s="1"/>
  <c r="AN78" i="2" s="1"/>
  <c r="AJ578" i="2"/>
  <c r="AK578" i="2" s="1"/>
  <c r="AL578" i="2" s="1"/>
  <c r="AN578" i="2" s="1"/>
  <c r="AJ1010" i="2"/>
  <c r="AK1010" i="2" s="1"/>
  <c r="AL1010" i="2" s="1"/>
  <c r="AN1010" i="2" s="1"/>
  <c r="AJ1103" i="2"/>
  <c r="AJ1032" i="2"/>
  <c r="AK1032" i="2" s="1"/>
  <c r="AL1032" i="2" s="1"/>
  <c r="AN1032" i="2" s="1"/>
  <c r="AJ691" i="2"/>
  <c r="AJ228" i="2"/>
  <c r="AK228" i="2" s="1"/>
  <c r="AL228" i="2" s="1"/>
  <c r="AN228" i="2" s="1"/>
  <c r="AJ810" i="2"/>
  <c r="AK810" i="2" s="1"/>
  <c r="AL810" i="2" s="1"/>
  <c r="AN810" i="2" s="1"/>
  <c r="AJ439" i="2"/>
  <c r="AJ610" i="2"/>
  <c r="AK610" i="2" s="1"/>
  <c r="AL610" i="2" s="1"/>
  <c r="AN610" i="2" s="1"/>
  <c r="AJ886" i="2"/>
  <c r="AJ1197" i="2"/>
  <c r="AK1197" i="2" s="1"/>
  <c r="AL1197" i="2" s="1"/>
  <c r="AM1197" i="2" s="1"/>
  <c r="AN1197" i="2" s="1"/>
  <c r="AJ821" i="2"/>
  <c r="AK821" i="2" s="1"/>
  <c r="AL821" i="2" s="1"/>
  <c r="AN821" i="2" s="1"/>
  <c r="AJ485" i="2"/>
  <c r="AK485" i="2" s="1"/>
  <c r="AL485" i="2" s="1"/>
  <c r="AN485" i="2" s="1"/>
  <c r="AJ4" i="2"/>
  <c r="AK4" i="2" s="1"/>
  <c r="AL4" i="2" s="1"/>
  <c r="AM4" i="2" s="1"/>
  <c r="AN4" i="2" s="1"/>
  <c r="AJ839" i="2"/>
  <c r="AK839" i="2" s="1"/>
  <c r="AL839" i="2" s="1"/>
  <c r="AJ709" i="2"/>
  <c r="AK709" i="2" s="1"/>
  <c r="AL709" i="2" s="1"/>
  <c r="AN709" i="2" s="1"/>
  <c r="AJ743" i="2"/>
  <c r="AK743" i="2" s="1"/>
  <c r="AL743" i="2" s="1"/>
  <c r="AN743" i="2" s="1"/>
  <c r="AJ945" i="2"/>
  <c r="AK945" i="2" s="1"/>
  <c r="AL945" i="2" s="1"/>
  <c r="AN945" i="2" s="1"/>
  <c r="AJ687" i="2"/>
  <c r="AJ1001" i="2"/>
  <c r="AK1001" i="2" s="1"/>
  <c r="AL1001" i="2" s="1"/>
  <c r="AN1001" i="2" s="1"/>
  <c r="AJ484" i="2"/>
  <c r="AK484" i="2" s="1"/>
  <c r="AL484" i="2" s="1"/>
  <c r="AN484" i="2" s="1"/>
  <c r="AJ745" i="2"/>
  <c r="AK745" i="2" s="1"/>
  <c r="AL745" i="2" s="1"/>
  <c r="AN745" i="2" s="1"/>
  <c r="AJ448" i="2"/>
  <c r="AK448" i="2" s="1"/>
  <c r="AL448" i="2" s="1"/>
  <c r="AN448" i="2" s="1"/>
  <c r="AJ384" i="2"/>
  <c r="AK384" i="2" s="1"/>
  <c r="AL384" i="2" s="1"/>
  <c r="AN384" i="2" s="1"/>
  <c r="AJ1118" i="2"/>
  <c r="AK1118" i="2" s="1"/>
  <c r="AL1118" i="2" s="1"/>
  <c r="AM1118" i="2" s="1"/>
  <c r="AN1118" i="2" s="1"/>
  <c r="AJ758" i="2"/>
  <c r="AK758" i="2" s="1"/>
  <c r="AL758" i="2" s="1"/>
  <c r="AN758" i="2" s="1"/>
  <c r="AJ805" i="2"/>
  <c r="AK805" i="2" s="1"/>
  <c r="AL805" i="2" s="1"/>
  <c r="AN805" i="2" s="1"/>
  <c r="AJ1151" i="2"/>
  <c r="AK1151" i="2" s="1"/>
  <c r="AL1151" i="2" s="1"/>
  <c r="AN1151" i="2" s="1"/>
  <c r="AJ697" i="2"/>
  <c r="AJ832" i="2"/>
  <c r="AK832" i="2" s="1"/>
  <c r="AL832" i="2" s="1"/>
  <c r="AN832" i="2" s="1"/>
  <c r="AJ1066" i="2"/>
  <c r="AK1066" i="2" s="1"/>
  <c r="AL1066" i="2" s="1"/>
  <c r="AN1066" i="2" s="1"/>
  <c r="AJ169" i="2"/>
  <c r="AK169" i="2" s="1"/>
  <c r="AL169" i="2" s="1"/>
  <c r="AN169" i="2" s="1"/>
  <c r="AJ536" i="2"/>
  <c r="AK536" i="2" s="1"/>
  <c r="AL536" i="2" s="1"/>
  <c r="AN536" i="2" s="1"/>
  <c r="AJ399" i="2"/>
  <c r="AJ597" i="2"/>
  <c r="AK597" i="2" s="1"/>
  <c r="AL597" i="2" s="1"/>
  <c r="AN597" i="2" s="1"/>
  <c r="AJ943" i="2"/>
  <c r="AK943" i="2" s="1"/>
  <c r="AL943" i="2" s="1"/>
  <c r="AN943" i="2" s="1"/>
  <c r="AJ510" i="2"/>
  <c r="AK510" i="2" s="1"/>
  <c r="AL510" i="2" s="1"/>
  <c r="AN510" i="2" s="1"/>
  <c r="AJ1298" i="2"/>
  <c r="AK1298" i="2" s="1"/>
  <c r="AL1298" i="2" s="1"/>
  <c r="AN1298" i="2" s="1"/>
  <c r="AJ296" i="2"/>
  <c r="AK296" i="2" s="1"/>
  <c r="AL296" i="2" s="1"/>
  <c r="AJ1252" i="2"/>
  <c r="AK1252" i="2" s="1"/>
  <c r="AL1252" i="2" s="1"/>
  <c r="AN1252" i="2" s="1"/>
  <c r="AJ456" i="2"/>
  <c r="AK456" i="2" s="1"/>
  <c r="AL456" i="2" s="1"/>
  <c r="AN456" i="2" s="1"/>
  <c r="AJ1283" i="2"/>
  <c r="AK1283" i="2" s="1"/>
  <c r="AL1283" i="2" s="1"/>
  <c r="AN1283" i="2" s="1"/>
  <c r="AJ82" i="2"/>
  <c r="AK82" i="2" s="1"/>
  <c r="AL82" i="2" s="1"/>
  <c r="AN82" i="2" s="1"/>
  <c r="AJ58" i="2"/>
  <c r="AK58" i="2" s="1"/>
  <c r="AL58" i="2" s="1"/>
  <c r="AN58" i="2" s="1"/>
  <c r="AJ95" i="2"/>
  <c r="AK95" i="2" s="1"/>
  <c r="AL95" i="2" s="1"/>
  <c r="AN95" i="2" s="1"/>
  <c r="AJ1081" i="2"/>
  <c r="AK1081" i="2" s="1"/>
  <c r="AL1081" i="2" s="1"/>
  <c r="AN1081" i="2" s="1"/>
  <c r="AJ377" i="2"/>
  <c r="AJ730" i="2"/>
  <c r="AK730" i="2" s="1"/>
  <c r="AL730" i="2" s="1"/>
  <c r="AN730" i="2" s="1"/>
  <c r="AJ960" i="2"/>
  <c r="AK960" i="2" s="1"/>
  <c r="AL960" i="2" s="1"/>
  <c r="AN960" i="2" s="1"/>
  <c r="AJ421" i="2"/>
  <c r="AK421" i="2" s="1"/>
  <c r="AL421" i="2" s="1"/>
  <c r="AN421" i="2" s="1"/>
  <c r="AJ196" i="2"/>
  <c r="AJ240" i="2"/>
  <c r="AK240" i="2" s="1"/>
  <c r="AL240" i="2" s="1"/>
  <c r="AN240" i="2" s="1"/>
  <c r="AJ1214" i="2"/>
  <c r="AK1214" i="2" s="1"/>
  <c r="AL1214" i="2" s="1"/>
  <c r="AM1214" i="2" s="1"/>
  <c r="AN1214" i="2" s="1"/>
  <c r="AJ780" i="2"/>
  <c r="AK780" i="2" s="1"/>
  <c r="AL780" i="2" s="1"/>
  <c r="AN780" i="2" s="1"/>
  <c r="AJ872" i="2"/>
  <c r="AK872" i="2" s="1"/>
  <c r="AL872" i="2" s="1"/>
  <c r="AM872" i="2" s="1"/>
  <c r="AN872" i="2" s="1"/>
  <c r="AJ1241" i="2"/>
  <c r="AK1241" i="2" s="1"/>
  <c r="AL1241" i="2" s="1"/>
  <c r="AN1241" i="2" s="1"/>
  <c r="AJ285" i="2"/>
  <c r="AK285" i="2" s="1"/>
  <c r="AL285" i="2" s="1"/>
  <c r="AN285" i="2" s="1"/>
  <c r="AJ1161" i="2"/>
  <c r="AK1161" i="2" s="1"/>
  <c r="AL1161" i="2" s="1"/>
  <c r="AN1161" i="2" s="1"/>
  <c r="AJ320" i="2"/>
  <c r="AK320" i="2" s="1"/>
  <c r="AL320" i="2" s="1"/>
  <c r="AN320" i="2" s="1"/>
  <c r="AJ371" i="2"/>
  <c r="AJ965" i="2"/>
  <c r="AK965" i="2" s="1"/>
  <c r="AL965" i="2" s="1"/>
  <c r="AN965" i="2" s="1"/>
  <c r="AJ1184" i="2"/>
  <c r="AK1184" i="2" s="1"/>
  <c r="AL1184" i="2" s="1"/>
  <c r="AM1184" i="2" s="1"/>
  <c r="AN1184" i="2" s="1"/>
  <c r="AJ63" i="2"/>
  <c r="AK63" i="2" s="1"/>
  <c r="AL63" i="2" s="1"/>
  <c r="AN63" i="2" s="1"/>
  <c r="AJ319" i="2"/>
  <c r="AK319" i="2" s="1"/>
  <c r="AL319" i="2" s="1"/>
  <c r="AN319" i="2" s="1"/>
  <c r="AJ136" i="2"/>
  <c r="AK136" i="2" s="1"/>
  <c r="AL136" i="2" s="1"/>
  <c r="AN136" i="2" s="1"/>
  <c r="AJ1038" i="2"/>
  <c r="AK1038" i="2" s="1"/>
  <c r="AL1038" i="2" s="1"/>
  <c r="AN1038" i="2" s="1"/>
  <c r="AJ777" i="2"/>
  <c r="AK777" i="2" s="1"/>
  <c r="AL777" i="2" s="1"/>
  <c r="AN777" i="2" s="1"/>
  <c r="AJ159" i="2"/>
  <c r="AK159" i="2" s="1"/>
  <c r="AL159" i="2" s="1"/>
  <c r="AM159" i="2" s="1"/>
  <c r="AN159" i="2" s="1"/>
  <c r="AJ764" i="2"/>
  <c r="AK764" i="2" s="1"/>
  <c r="AL764" i="2" s="1"/>
  <c r="AN764" i="2" s="1"/>
  <c r="AJ316" i="2"/>
  <c r="AK316" i="2" s="1"/>
  <c r="AL316" i="2" s="1"/>
  <c r="AM316" i="2" s="1"/>
  <c r="AN316" i="2" s="1"/>
  <c r="AJ562" i="2"/>
  <c r="AK562" i="2" s="1"/>
  <c r="AL562" i="2" s="1"/>
  <c r="AN562" i="2" s="1"/>
  <c r="AJ1234" i="2"/>
  <c r="AK1234" i="2" s="1"/>
  <c r="AL1234" i="2" s="1"/>
  <c r="AN1234" i="2" s="1"/>
  <c r="AJ312" i="2"/>
  <c r="AK312" i="2" s="1"/>
  <c r="AL312" i="2" s="1"/>
  <c r="AM312" i="2" s="1"/>
  <c r="AN312" i="2" s="1"/>
  <c r="AJ41" i="2"/>
  <c r="AK41" i="2" s="1"/>
  <c r="AL41" i="2" s="1"/>
  <c r="AM41" i="2" s="1"/>
  <c r="AN41" i="2" s="1"/>
  <c r="AJ736" i="2"/>
  <c r="AK736" i="2" s="1"/>
  <c r="AL736" i="2" s="1"/>
  <c r="AN736" i="2" s="1"/>
  <c r="AJ942" i="2"/>
  <c r="AK942" i="2" s="1"/>
  <c r="AL942" i="2" s="1"/>
  <c r="AN942" i="2" s="1"/>
  <c r="AJ128" i="2"/>
  <c r="AK128" i="2" s="1"/>
  <c r="AL128" i="2" s="1"/>
  <c r="AM128" i="2" s="1"/>
  <c r="AN128" i="2" s="1"/>
  <c r="AJ1239" i="2"/>
  <c r="AK1239" i="2" s="1"/>
  <c r="AL1239" i="2" s="1"/>
  <c r="AN1239" i="2" s="1"/>
  <c r="AJ529" i="2"/>
  <c r="AK529" i="2" s="1"/>
  <c r="AL529" i="2" s="1"/>
  <c r="AN529" i="2" s="1"/>
  <c r="AJ795" i="2"/>
  <c r="AK795" i="2" s="1"/>
  <c r="AL795" i="2" s="1"/>
  <c r="AN795" i="2" s="1"/>
  <c r="AJ1278" i="2"/>
  <c r="AK1278" i="2" s="1"/>
  <c r="AL1278" i="2" s="1"/>
  <c r="AN1278" i="2" s="1"/>
  <c r="AJ532" i="2"/>
  <c r="AK532" i="2" s="1"/>
  <c r="AL532" i="2" s="1"/>
  <c r="AN532" i="2" s="1"/>
  <c r="AJ93" i="2"/>
  <c r="AK93" i="2" s="1"/>
  <c r="AL93" i="2" s="1"/>
  <c r="AN93" i="2" s="1"/>
  <c r="AJ870" i="2"/>
  <c r="AK870" i="2" s="1"/>
  <c r="AL870" i="2" s="1"/>
  <c r="AM870" i="2" s="1"/>
  <c r="AN870" i="2" s="1"/>
  <c r="AJ214" i="2"/>
  <c r="AJ533" i="2"/>
  <c r="AK533" i="2" s="1"/>
  <c r="AL533" i="2" s="1"/>
  <c r="AN533" i="2" s="1"/>
  <c r="AJ19" i="2"/>
  <c r="AK19" i="2" s="1"/>
  <c r="AL19" i="2" s="1"/>
  <c r="AN19" i="2" s="1"/>
  <c r="AJ1017" i="2"/>
  <c r="AK1017" i="2" s="1"/>
  <c r="AL1017" i="2" s="1"/>
  <c r="AN1017" i="2" s="1"/>
  <c r="AJ1281" i="2"/>
  <c r="AK1281" i="2" s="1"/>
  <c r="AL1281" i="2" s="1"/>
  <c r="AN1281" i="2" s="1"/>
  <c r="AJ289" i="2"/>
  <c r="AK289" i="2" s="1"/>
  <c r="AL289" i="2" s="1"/>
  <c r="AN289" i="2" s="1"/>
  <c r="AJ704" i="2"/>
  <c r="AJ1245" i="2"/>
  <c r="AK1245" i="2" s="1"/>
  <c r="AL1245" i="2" s="1"/>
  <c r="AN1245" i="2" s="1"/>
  <c r="AJ1097" i="2"/>
  <c r="AJ701" i="2"/>
  <c r="AK701" i="2" s="1"/>
  <c r="AL701" i="2" s="1"/>
  <c r="AN701" i="2" s="1"/>
  <c r="AJ696" i="2"/>
  <c r="AK696" i="2" s="1"/>
  <c r="AL696" i="2" s="1"/>
  <c r="AN696" i="2" s="1"/>
  <c r="N24" i="1"/>
  <c r="AJ952" i="2"/>
  <c r="AK952" i="2" s="1"/>
  <c r="AL952" i="2" s="1"/>
  <c r="AN952" i="2" s="1"/>
  <c r="AJ1098" i="2"/>
  <c r="AJ1077" i="2"/>
  <c r="AK1077" i="2" s="1"/>
  <c r="AL1077" i="2" s="1"/>
  <c r="AN1077" i="2" s="1"/>
  <c r="AJ961" i="2"/>
  <c r="AK961" i="2" s="1"/>
  <c r="AL961" i="2" s="1"/>
  <c r="AN961" i="2" s="1"/>
  <c r="AJ619" i="2"/>
  <c r="AK619" i="2" s="1"/>
  <c r="AL619" i="2" s="1"/>
  <c r="AN619" i="2" s="1"/>
  <c r="AJ885" i="2"/>
  <c r="AJ881" i="2"/>
  <c r="AJ1284" i="2"/>
  <c r="AK1284" i="2" s="1"/>
  <c r="AL1284" i="2" s="1"/>
  <c r="AN1284" i="2" s="1"/>
  <c r="AJ453" i="2"/>
  <c r="AK453" i="2" s="1"/>
  <c r="AL453" i="2" s="1"/>
  <c r="AN453" i="2" s="1"/>
  <c r="AJ495" i="2"/>
  <c r="AK495" i="2" s="1"/>
  <c r="AL495" i="2" s="1"/>
  <c r="AN495" i="2" s="1"/>
  <c r="AJ997" i="2"/>
  <c r="AK997" i="2" s="1"/>
  <c r="AL997" i="2" s="1"/>
  <c r="AN997" i="2" s="1"/>
  <c r="AJ1127" i="2"/>
  <c r="AK1127" i="2" s="1"/>
  <c r="AL1127" i="2" s="1"/>
  <c r="AN1127" i="2" s="1"/>
  <c r="AJ273" i="2"/>
  <c r="AJ900" i="2"/>
  <c r="AK900" i="2" s="1"/>
  <c r="AL900" i="2" s="1"/>
  <c r="AN900" i="2" s="1"/>
  <c r="AJ624" i="2"/>
  <c r="AK624" i="2" s="1"/>
  <c r="AL624" i="2" s="1"/>
  <c r="AN624" i="2" s="1"/>
  <c r="AJ926" i="2"/>
  <c r="AK926" i="2" s="1"/>
  <c r="AL926" i="2" s="1"/>
  <c r="AN926" i="2" s="1"/>
  <c r="AJ906" i="2"/>
  <c r="AK906" i="2" s="1"/>
  <c r="AL906" i="2" s="1"/>
  <c r="AN906" i="2" s="1"/>
  <c r="AJ526" i="2"/>
  <c r="AK526" i="2" s="1"/>
  <c r="AL526" i="2" s="1"/>
  <c r="AN526" i="2" s="1"/>
  <c r="AJ318" i="2"/>
  <c r="AK318" i="2" s="1"/>
  <c r="AL318" i="2" s="1"/>
  <c r="AN318" i="2" s="1"/>
  <c r="AJ457" i="2"/>
  <c r="AK457" i="2" s="1"/>
  <c r="AL457" i="2" s="1"/>
  <c r="AN457" i="2" s="1"/>
  <c r="AJ570" i="2"/>
  <c r="AK570" i="2" s="1"/>
  <c r="AL570" i="2" s="1"/>
  <c r="AN570" i="2" s="1"/>
  <c r="AJ851" i="2"/>
  <c r="AK851" i="2" s="1"/>
  <c r="AL851" i="2" s="1"/>
  <c r="AM851" i="2" s="1"/>
  <c r="AN851" i="2" s="1"/>
  <c r="AJ823" i="2"/>
  <c r="AK823" i="2" s="1"/>
  <c r="AL823" i="2" s="1"/>
  <c r="AN823" i="2" s="1"/>
  <c r="AJ242" i="2"/>
  <c r="AK242" i="2" s="1"/>
  <c r="AL242" i="2" s="1"/>
  <c r="AN242" i="2" s="1"/>
  <c r="AJ947" i="2"/>
  <c r="AK947" i="2" s="1"/>
  <c r="AL947" i="2" s="1"/>
  <c r="AN947" i="2" s="1"/>
  <c r="AJ537" i="2"/>
  <c r="AK537" i="2" s="1"/>
  <c r="AL537" i="2" s="1"/>
  <c r="AN537" i="2" s="1"/>
  <c r="AJ378" i="2"/>
  <c r="AJ575" i="2"/>
  <c r="AK575" i="2" s="1"/>
  <c r="AL575" i="2" s="1"/>
  <c r="AN575" i="2" s="1"/>
  <c r="AJ409" i="2"/>
  <c r="AJ1016" i="2"/>
  <c r="AK1016" i="2" s="1"/>
  <c r="AL1016" i="2" s="1"/>
  <c r="AN1016" i="2" s="1"/>
  <c r="AJ541" i="2"/>
  <c r="AK541" i="2" s="1"/>
  <c r="AL541" i="2" s="1"/>
  <c r="AN541" i="2" s="1"/>
  <c r="AJ1023" i="2"/>
  <c r="AK1023" i="2" s="1"/>
  <c r="AL1023" i="2" s="1"/>
  <c r="AN1023" i="2" s="1"/>
  <c r="AJ42" i="2"/>
  <c r="AK42" i="2" s="1"/>
  <c r="AL42" i="2" s="1"/>
  <c r="AN42" i="2" s="1"/>
  <c r="AJ1301" i="2"/>
  <c r="AK1301" i="2" s="1"/>
  <c r="AL1301" i="2" s="1"/>
  <c r="AN1301" i="2" s="1"/>
  <c r="AJ1238" i="2"/>
  <c r="AK1238" i="2" s="1"/>
  <c r="AL1238" i="2" s="1"/>
  <c r="AN1238" i="2" s="1"/>
  <c r="AJ711" i="2"/>
  <c r="AK711" i="2" s="1"/>
  <c r="AL711" i="2" s="1"/>
  <c r="AN711" i="2" s="1"/>
  <c r="AJ268" i="2"/>
  <c r="AJ269" i="2"/>
  <c r="AJ615" i="2"/>
  <c r="AK615" i="2" s="1"/>
  <c r="AL615" i="2" s="1"/>
  <c r="AN615" i="2" s="1"/>
  <c r="AJ1269" i="2"/>
  <c r="AK1269" i="2" s="1"/>
  <c r="AL1269" i="2" s="1"/>
  <c r="AN1269" i="2" s="1"/>
  <c r="AJ920" i="2"/>
  <c r="AK920" i="2" s="1"/>
  <c r="AL920" i="2" s="1"/>
  <c r="AN920" i="2" s="1"/>
  <c r="AJ184" i="2"/>
  <c r="AK184" i="2" s="1"/>
  <c r="AL184" i="2" s="1"/>
  <c r="AN184" i="2" s="1"/>
  <c r="AJ216" i="2"/>
  <c r="AK216" i="2" s="1"/>
  <c r="AL216" i="2" s="1"/>
  <c r="AM216" i="2" s="1"/>
  <c r="AN216" i="2" s="1"/>
  <c r="AJ391" i="2"/>
  <c r="AJ714" i="2"/>
  <c r="AK714" i="2" s="1"/>
  <c r="AL714" i="2" s="1"/>
  <c r="AN714" i="2" s="1"/>
  <c r="AJ1145" i="2"/>
  <c r="AK1145" i="2" s="1"/>
  <c r="AL1145" i="2" s="1"/>
  <c r="AN1145" i="2" s="1"/>
  <c r="AJ306" i="2"/>
  <c r="AK306" i="2" s="1"/>
  <c r="AL306" i="2" s="1"/>
  <c r="AM306" i="2" s="1"/>
  <c r="AN306" i="2" s="1"/>
  <c r="AJ26" i="2"/>
  <c r="AK26" i="2" s="1"/>
  <c r="AL26" i="2" s="1"/>
  <c r="AN26" i="2" s="1"/>
  <c r="AJ778" i="2"/>
  <c r="AK778" i="2" s="1"/>
  <c r="AL778" i="2" s="1"/>
  <c r="AN778" i="2" s="1"/>
  <c r="AJ335" i="2"/>
  <c r="AK335" i="2" s="1"/>
  <c r="AL335" i="2" s="1"/>
  <c r="AN335" i="2" s="1"/>
  <c r="AJ692" i="2"/>
  <c r="AJ204" i="2"/>
  <c r="AK204" i="2" s="1"/>
  <c r="AL204" i="2" s="1"/>
  <c r="AM204" i="2" s="1"/>
  <c r="AN204" i="2" s="1"/>
  <c r="AJ300" i="2"/>
  <c r="AK300" i="2" s="1"/>
  <c r="AL300" i="2" s="1"/>
  <c r="AN300" i="2" s="1"/>
  <c r="AJ508" i="2"/>
  <c r="AK508" i="2" s="1"/>
  <c r="AL508" i="2" s="1"/>
  <c r="AN508" i="2" s="1"/>
  <c r="AJ194" i="2"/>
  <c r="AJ115" i="2"/>
  <c r="AK115" i="2" s="1"/>
  <c r="AL115" i="2" s="1"/>
  <c r="AN115" i="2" s="1"/>
  <c r="AJ472" i="2"/>
  <c r="AK472" i="2" s="1"/>
  <c r="AL472" i="2" s="1"/>
  <c r="AN472" i="2" s="1"/>
  <c r="AJ511" i="2"/>
  <c r="AK511" i="2" s="1"/>
  <c r="AL511" i="2" s="1"/>
  <c r="AN511" i="2" s="1"/>
  <c r="AJ640" i="2"/>
  <c r="AK640" i="2" s="1"/>
  <c r="AL640" i="2" s="1"/>
  <c r="AN640" i="2" s="1"/>
  <c r="AJ659" i="2"/>
  <c r="AK659" i="2" s="1"/>
  <c r="AL659" i="2" s="1"/>
  <c r="AN659" i="2" s="1"/>
  <c r="AJ877" i="2"/>
  <c r="AK877" i="2" s="1"/>
  <c r="AL877" i="2" s="1"/>
  <c r="AN877" i="2" s="1"/>
  <c r="AJ357" i="2"/>
  <c r="AJ71" i="2"/>
  <c r="AK71" i="2" s="1"/>
  <c r="AL71" i="2" s="1"/>
  <c r="AN71" i="2" s="1"/>
  <c r="AJ248" i="2"/>
  <c r="AK248" i="2" s="1"/>
  <c r="AL248" i="2" s="1"/>
  <c r="AN248" i="2" s="1"/>
  <c r="AJ798" i="2"/>
  <c r="AK798" i="2" s="1"/>
  <c r="AL798" i="2" s="1"/>
  <c r="AN798" i="2" s="1"/>
  <c r="AJ350" i="2"/>
  <c r="AJ655" i="2"/>
  <c r="AK655" i="2" s="1"/>
  <c r="AL655" i="2" s="1"/>
  <c r="AN655" i="2" s="1"/>
  <c r="AJ801" i="2"/>
  <c r="AK801" i="2" s="1"/>
  <c r="AL801" i="2" s="1"/>
  <c r="AN801" i="2" s="1"/>
  <c r="AJ843" i="2"/>
  <c r="AK843" i="2" s="1"/>
  <c r="AL843" i="2" s="1"/>
  <c r="AN843" i="2" s="1"/>
  <c r="AJ581" i="2"/>
  <c r="AK581" i="2" s="1"/>
  <c r="AL581" i="2" s="1"/>
  <c r="AN581" i="2" s="1"/>
  <c r="AJ1133" i="2"/>
  <c r="AK1133" i="2" s="1"/>
  <c r="AL1133" i="2" s="1"/>
  <c r="AN1133" i="2" s="1"/>
  <c r="AJ1041" i="2"/>
  <c r="AJ649" i="2"/>
  <c r="AK649" i="2" s="1"/>
  <c r="AL649" i="2" s="1"/>
  <c r="AN649" i="2" s="1"/>
  <c r="AJ861" i="2"/>
  <c r="AK861" i="2" s="1"/>
  <c r="AL861" i="2" s="1"/>
  <c r="AM861" i="2" s="1"/>
  <c r="AN861" i="2" s="1"/>
  <c r="AJ277" i="2"/>
  <c r="AJ258" i="2"/>
  <c r="AK258" i="2" s="1"/>
  <c r="AL258" i="2" s="1"/>
  <c r="AM258" i="2" s="1"/>
  <c r="AN258" i="2" s="1"/>
  <c r="AJ1037" i="2"/>
  <c r="AK1037" i="2" s="1"/>
  <c r="AL1037" i="2" s="1"/>
  <c r="AN1037" i="2" s="1"/>
  <c r="AJ1190" i="2"/>
  <c r="AK1190" i="2" s="1"/>
  <c r="AL1190" i="2" s="1"/>
  <c r="AM1190" i="2" s="1"/>
  <c r="AN1190" i="2" s="1"/>
  <c r="AJ867" i="2"/>
  <c r="AK867" i="2" s="1"/>
  <c r="AL867" i="2" s="1"/>
  <c r="AM867" i="2" s="1"/>
  <c r="AN867" i="2" s="1"/>
  <c r="AJ799" i="2"/>
  <c r="AK799" i="2" s="1"/>
  <c r="AL799" i="2" s="1"/>
  <c r="AN799" i="2" s="1"/>
  <c r="AJ918" i="2"/>
  <c r="AK918" i="2" s="1"/>
  <c r="AL918" i="2" s="1"/>
  <c r="AN918" i="2" s="1"/>
  <c r="AJ433" i="2"/>
  <c r="AK433" i="2" s="1"/>
  <c r="AL433" i="2" s="1"/>
  <c r="AN433" i="2" s="1"/>
  <c r="AJ836" i="2"/>
  <c r="AK836" i="2" s="1"/>
  <c r="AL836" i="2" s="1"/>
  <c r="AM836" i="2" s="1"/>
  <c r="AN836" i="2" s="1"/>
  <c r="AJ889" i="2"/>
  <c r="AK889" i="2" s="1"/>
  <c r="AL889" i="2" s="1"/>
  <c r="AN889" i="2" s="1"/>
  <c r="AJ542" i="2"/>
  <c r="AK542" i="2" s="1"/>
  <c r="AL542" i="2" s="1"/>
  <c r="AN542" i="2" s="1"/>
  <c r="AJ449" i="2"/>
  <c r="AK449" i="2" s="1"/>
  <c r="AL449" i="2" s="1"/>
  <c r="AN449" i="2" s="1"/>
  <c r="AJ1039" i="2"/>
  <c r="AK1039" i="2" s="1"/>
  <c r="AL1039" i="2" s="1"/>
  <c r="AN1039" i="2" s="1"/>
  <c r="AJ1224" i="2"/>
  <c r="AK1224" i="2" s="1"/>
  <c r="AL1224" i="2" s="1"/>
  <c r="AN1224" i="2" s="1"/>
  <c r="AJ864" i="2"/>
  <c r="AK864" i="2" s="1"/>
  <c r="AL864" i="2" s="1"/>
  <c r="AM864" i="2" s="1"/>
  <c r="AN864" i="2" s="1"/>
  <c r="AJ539" i="2"/>
  <c r="AK539" i="2" s="1"/>
  <c r="AL539" i="2" s="1"/>
  <c r="AN539" i="2" s="1"/>
  <c r="AJ769" i="2"/>
  <c r="AK769" i="2" s="1"/>
  <c r="AL769" i="2" s="1"/>
  <c r="AN769" i="2" s="1"/>
  <c r="AJ315" i="2"/>
  <c r="AK315" i="2" s="1"/>
  <c r="AL315" i="2" s="1"/>
  <c r="AM315" i="2" s="1"/>
  <c r="AN315" i="2" s="1"/>
  <c r="AJ579" i="2"/>
  <c r="AK579" i="2" s="1"/>
  <c r="AL579" i="2" s="1"/>
  <c r="AN579" i="2" s="1"/>
  <c r="AJ831" i="2"/>
  <c r="AK831" i="2" s="1"/>
  <c r="AL831" i="2" s="1"/>
  <c r="AN831" i="2" s="1"/>
  <c r="AJ15" i="2"/>
  <c r="AK15" i="2" s="1"/>
  <c r="AL15" i="2" s="1"/>
  <c r="AM15" i="2" s="1"/>
  <c r="AN15" i="2" s="1"/>
  <c r="AJ752" i="2"/>
  <c r="AK752" i="2" s="1"/>
  <c r="AL752" i="2" s="1"/>
  <c r="AN752" i="2" s="1"/>
  <c r="AJ446" i="2"/>
  <c r="AK446" i="2" s="1"/>
  <c r="AL446" i="2" s="1"/>
  <c r="AN446" i="2" s="1"/>
  <c r="AJ39" i="2"/>
  <c r="AK39" i="2" s="1"/>
  <c r="AL39" i="2" s="1"/>
  <c r="AN39" i="2" s="1"/>
  <c r="AJ552" i="2"/>
  <c r="AK552" i="2" s="1"/>
  <c r="AL552" i="2" s="1"/>
  <c r="AN552" i="2" s="1"/>
  <c r="AJ407" i="2"/>
  <c r="AK407" i="2" s="1"/>
  <c r="AL407" i="2" s="1"/>
  <c r="AN407" i="2" s="1"/>
  <c r="AJ1237" i="2"/>
  <c r="AK1237" i="2" s="1"/>
  <c r="AL1237" i="2" s="1"/>
  <c r="AN1237" i="2" s="1"/>
  <c r="AJ596" i="2"/>
  <c r="AK596" i="2" s="1"/>
  <c r="AL596" i="2" s="1"/>
  <c r="AN596" i="2" s="1"/>
  <c r="AJ278" i="2"/>
  <c r="AK278" i="2" s="1"/>
  <c r="AL278" i="2" s="1"/>
  <c r="AM278" i="2" s="1"/>
  <c r="AN278" i="2" s="1"/>
  <c r="AJ1274" i="2"/>
  <c r="AK1274" i="2" s="1"/>
  <c r="AL1274" i="2" s="1"/>
  <c r="AN1274" i="2" s="1"/>
  <c r="AJ288" i="2"/>
  <c r="AK288" i="2" s="1"/>
  <c r="AL288" i="2" s="1"/>
  <c r="AM288" i="2" s="1"/>
  <c r="AN288" i="2" s="1"/>
  <c r="AJ594" i="2"/>
  <c r="AK594" i="2" s="1"/>
  <c r="AL594" i="2" s="1"/>
  <c r="AN594" i="2" s="1"/>
  <c r="AJ274" i="2"/>
  <c r="AJ388" i="2"/>
  <c r="AJ1129" i="2"/>
  <c r="AK1129" i="2" s="1"/>
  <c r="AL1129" i="2" s="1"/>
  <c r="AM1129" i="2" s="1"/>
  <c r="AN1129" i="2" s="1"/>
  <c r="AJ52" i="2"/>
  <c r="AK52" i="2" s="1"/>
  <c r="AL52" i="2" s="1"/>
  <c r="AN52" i="2" s="1"/>
  <c r="AJ73" i="2"/>
  <c r="AK73" i="2" s="1"/>
  <c r="AL73" i="2" s="1"/>
  <c r="AN73" i="2" s="1"/>
  <c r="AJ887" i="2"/>
  <c r="AJ76" i="2"/>
  <c r="AK76" i="2" s="1"/>
  <c r="AL76" i="2" s="1"/>
  <c r="AN76" i="2" s="1"/>
  <c r="AJ656" i="2"/>
  <c r="AK656" i="2" s="1"/>
  <c r="AL656" i="2" s="1"/>
  <c r="AN656" i="2" s="1"/>
  <c r="AJ1083" i="2"/>
  <c r="AK1083" i="2" s="1"/>
  <c r="AL1083" i="2" s="1"/>
  <c r="AN1083" i="2" s="1"/>
  <c r="AJ951" i="2"/>
  <c r="AK951" i="2" s="1"/>
  <c r="AL951" i="2" s="1"/>
  <c r="AN951" i="2" s="1"/>
  <c r="AJ302" i="2"/>
  <c r="AK302" i="2" s="1"/>
  <c r="AL302" i="2" s="1"/>
  <c r="AM302" i="2" s="1"/>
  <c r="AN302" i="2" s="1"/>
  <c r="AJ304" i="2"/>
  <c r="AK304" i="2" s="1"/>
  <c r="AL304" i="2" s="1"/>
  <c r="AN304" i="2" s="1"/>
  <c r="AJ81" i="2"/>
  <c r="AK81" i="2" s="1"/>
  <c r="AL81" i="2" s="1"/>
  <c r="AN81" i="2" s="1"/>
  <c r="AJ638" i="2"/>
  <c r="AK638" i="2" s="1"/>
  <c r="AL638" i="2" s="1"/>
  <c r="AN638" i="2" s="1"/>
  <c r="AJ381" i="2"/>
  <c r="AJ644" i="2"/>
  <c r="AK644" i="2" s="1"/>
  <c r="AL644" i="2" s="1"/>
  <c r="AN644" i="2" s="1"/>
  <c r="AJ1027" i="2"/>
  <c r="AK1027" i="2" s="1"/>
  <c r="AL1027" i="2" s="1"/>
  <c r="AN1027" i="2" s="1"/>
  <c r="AJ1200" i="2"/>
  <c r="AK1200" i="2" s="1"/>
  <c r="AL1200" i="2" s="1"/>
  <c r="AM1200" i="2" s="1"/>
  <c r="AN1200" i="2" s="1"/>
  <c r="AJ1270" i="2"/>
  <c r="AK1270" i="2" s="1"/>
  <c r="AL1270" i="2" s="1"/>
  <c r="AN1270" i="2" s="1"/>
  <c r="AJ460" i="2"/>
  <c r="AK460" i="2" s="1"/>
  <c r="AL460" i="2" s="1"/>
  <c r="AN460" i="2" s="1"/>
  <c r="AJ126" i="2"/>
  <c r="AK126" i="2" s="1"/>
  <c r="AL126" i="2" s="1"/>
  <c r="AN126" i="2" s="1"/>
  <c r="AJ459" i="2"/>
  <c r="AK459" i="2" s="1"/>
  <c r="AL459" i="2" s="1"/>
  <c r="AN459" i="2" s="1"/>
  <c r="AJ634" i="2"/>
  <c r="AK634" i="2" s="1"/>
  <c r="AL634" i="2" s="1"/>
  <c r="AN634" i="2" s="1"/>
  <c r="AJ365" i="2"/>
  <c r="AJ1206" i="2"/>
  <c r="AK1206" i="2" s="1"/>
  <c r="AL1206" i="2" s="1"/>
  <c r="AN1206" i="2" s="1"/>
  <c r="AJ1043" i="2"/>
  <c r="AK1043" i="2" s="1"/>
  <c r="AL1043" i="2" s="1"/>
  <c r="AN1043" i="2" s="1"/>
  <c r="AJ1285" i="2"/>
  <c r="AK1285" i="2" s="1"/>
  <c r="AL1285" i="2" s="1"/>
  <c r="AN1285" i="2" s="1"/>
  <c r="AJ60" i="2"/>
  <c r="AK60" i="2" s="1"/>
  <c r="AL60" i="2" s="1"/>
  <c r="AN60" i="2" s="1"/>
  <c r="AJ219" i="2"/>
  <c r="AK219" i="2" s="1"/>
  <c r="AL219" i="2" s="1"/>
  <c r="AM219" i="2" s="1"/>
  <c r="AN219" i="2" s="1"/>
  <c r="AJ434" i="2"/>
  <c r="AK434" i="2" s="1"/>
  <c r="AL434" i="2" s="1"/>
  <c r="AN434" i="2" s="1"/>
  <c r="AJ107" i="2"/>
  <c r="AJ341" i="2"/>
  <c r="AJ698" i="2"/>
  <c r="AJ660" i="2"/>
  <c r="AK660" i="2" s="1"/>
  <c r="AL660" i="2" s="1"/>
  <c r="AN660" i="2" s="1"/>
  <c r="AJ266" i="2"/>
  <c r="AK266" i="2" s="1"/>
  <c r="AL266" i="2" s="1"/>
  <c r="AN266" i="2" s="1"/>
  <c r="AJ55" i="2"/>
  <c r="AJ1212" i="2"/>
  <c r="AK1212" i="2" s="1"/>
  <c r="AL1212" i="2" s="1"/>
  <c r="AN1212" i="2" s="1"/>
  <c r="AJ1053" i="2"/>
  <c r="AK1053" i="2" s="1"/>
  <c r="AL1053" i="2" s="1"/>
  <c r="AN1053" i="2" s="1"/>
  <c r="AJ24" i="2"/>
  <c r="AK24" i="2" s="1"/>
  <c r="AL24" i="2" s="1"/>
  <c r="AM24" i="2" s="1"/>
  <c r="AN24" i="2" s="1"/>
  <c r="AJ412" i="2"/>
  <c r="AK412" i="2" s="1"/>
  <c r="AL412" i="2" s="1"/>
  <c r="AN412" i="2" s="1"/>
  <c r="AJ589" i="2"/>
  <c r="AK589" i="2" s="1"/>
  <c r="AL589" i="2" s="1"/>
  <c r="AN589" i="2" s="1"/>
  <c r="AJ557" i="2"/>
  <c r="AK557" i="2" s="1"/>
  <c r="AL557" i="2" s="1"/>
  <c r="AN557" i="2" s="1"/>
  <c r="AJ347" i="2"/>
  <c r="AJ334" i="2"/>
  <c r="AK334" i="2" s="1"/>
  <c r="AL334" i="2" s="1"/>
  <c r="AN334" i="2" s="1"/>
  <c r="AJ883" i="2"/>
  <c r="AJ587" i="2"/>
  <c r="AK587" i="2" s="1"/>
  <c r="AL587" i="2" s="1"/>
  <c r="AN587" i="2" s="1"/>
  <c r="AJ658" i="2"/>
  <c r="AK658" i="2" s="1"/>
  <c r="AL658" i="2" s="1"/>
  <c r="AN658" i="2" s="1"/>
  <c r="AJ1171" i="2"/>
  <c r="AJ914" i="2"/>
  <c r="AK914" i="2" s="1"/>
  <c r="AL914" i="2" s="1"/>
  <c r="AN914" i="2" s="1"/>
  <c r="AJ1056" i="2"/>
  <c r="AK1056" i="2" s="1"/>
  <c r="AL1056" i="2" s="1"/>
  <c r="AN1056" i="2" s="1"/>
  <c r="AJ1228" i="2"/>
  <c r="AK1228" i="2" s="1"/>
  <c r="AL1228" i="2" s="1"/>
  <c r="AN1228" i="2" s="1"/>
  <c r="AJ829" i="2"/>
  <c r="AK829" i="2" s="1"/>
  <c r="AL829" i="2" s="1"/>
  <c r="AN829" i="2" s="1"/>
  <c r="AJ1209" i="2"/>
  <c r="AK1209" i="2" s="1"/>
  <c r="AL1209" i="2" s="1"/>
  <c r="AN1209" i="2" s="1"/>
  <c r="AJ835" i="2"/>
  <c r="AK835" i="2" s="1"/>
  <c r="AL835" i="2" s="1"/>
  <c r="AN835" i="2" s="1"/>
  <c r="AJ978" i="2"/>
  <c r="AK978" i="2" s="1"/>
  <c r="AL978" i="2" s="1"/>
  <c r="AN978" i="2" s="1"/>
  <c r="AJ938" i="2"/>
  <c r="AK938" i="2" s="1"/>
  <c r="AL938" i="2" s="1"/>
  <c r="AN938" i="2" s="1"/>
  <c r="AJ354" i="2"/>
  <c r="AJ193" i="2"/>
  <c r="AJ478" i="2"/>
  <c r="AK478" i="2" s="1"/>
  <c r="AL478" i="2" s="1"/>
  <c r="AN478" i="2" s="1"/>
  <c r="AJ582" i="2"/>
  <c r="AK582" i="2" s="1"/>
  <c r="AL582" i="2" s="1"/>
  <c r="AN582" i="2" s="1"/>
  <c r="AJ427" i="2"/>
  <c r="AK427" i="2" s="1"/>
  <c r="AL427" i="2" s="1"/>
  <c r="AN427" i="2" s="1"/>
  <c r="AJ890" i="2"/>
  <c r="AK890" i="2" s="1"/>
  <c r="AL890" i="2" s="1"/>
  <c r="AN890" i="2" s="1"/>
  <c r="AJ1153" i="2"/>
  <c r="AK1153" i="2" s="1"/>
  <c r="AL1153" i="2" s="1"/>
  <c r="AM1153" i="2" s="1"/>
  <c r="AN1153" i="2" s="1"/>
  <c r="AJ500" i="2"/>
  <c r="AK500" i="2" s="1"/>
  <c r="AL500" i="2" s="1"/>
  <c r="AN500" i="2" s="1"/>
  <c r="AJ1213" i="2"/>
  <c r="AK1213" i="2" s="1"/>
  <c r="AL1213" i="2" s="1"/>
  <c r="AM1213" i="2" s="1"/>
  <c r="AN1213" i="2" s="1"/>
  <c r="AJ444" i="2"/>
  <c r="AK444" i="2" s="1"/>
  <c r="AL444" i="2" s="1"/>
  <c r="AN444" i="2" s="1"/>
  <c r="AJ200" i="2"/>
  <c r="AJ426" i="2"/>
  <c r="AK426" i="2" s="1"/>
  <c r="AL426" i="2" s="1"/>
  <c r="AN426" i="2" s="1"/>
  <c r="AJ473" i="2"/>
  <c r="AK473" i="2" s="1"/>
  <c r="AL473" i="2" s="1"/>
  <c r="AN473" i="2" s="1"/>
  <c r="AJ632" i="2"/>
  <c r="AK632" i="2" s="1"/>
  <c r="AL632" i="2" s="1"/>
  <c r="AN632" i="2" s="1"/>
  <c r="AJ481" i="2"/>
  <c r="AK481" i="2" s="1"/>
  <c r="AL481" i="2" s="1"/>
  <c r="AN481" i="2" s="1"/>
  <c r="AJ161" i="2"/>
  <c r="AK161" i="2" s="1"/>
  <c r="AL161" i="2" s="1"/>
  <c r="AN161" i="2" s="1"/>
  <c r="AJ1258" i="2"/>
  <c r="AK1258" i="2" s="1"/>
  <c r="AL1258" i="2" s="1"/>
  <c r="AN1258" i="2" s="1"/>
  <c r="AJ975" i="2"/>
  <c r="AK975" i="2" s="1"/>
  <c r="AL975" i="2" s="1"/>
  <c r="AN975" i="2" s="1"/>
  <c r="AJ904" i="2"/>
  <c r="AK904" i="2" s="1"/>
  <c r="AL904" i="2" s="1"/>
  <c r="AM904" i="2" s="1"/>
  <c r="AN904" i="2" s="1"/>
  <c r="AJ852" i="2"/>
  <c r="AK852" i="2" s="1"/>
  <c r="AL852" i="2" s="1"/>
  <c r="AN852" i="2" s="1"/>
  <c r="O15" i="1" s="1"/>
  <c r="AJ215" i="2"/>
  <c r="AK215" i="2" s="1"/>
  <c r="AL215" i="2" s="1"/>
  <c r="AN215" i="2" s="1"/>
  <c r="AJ303" i="2"/>
  <c r="AK303" i="2" s="1"/>
  <c r="AL303" i="2" s="1"/>
  <c r="AN303" i="2" s="1"/>
  <c r="AJ356" i="2"/>
  <c r="AJ162" i="2"/>
  <c r="AK162" i="2" s="1"/>
  <c r="AL162" i="2" s="1"/>
  <c r="AM162" i="2" s="1"/>
  <c r="AN162" i="2" s="1"/>
  <c r="AJ1015" i="2"/>
  <c r="AK1015" i="2" s="1"/>
  <c r="AL1015" i="2" s="1"/>
  <c r="AN1015" i="2" s="1"/>
  <c r="AJ1149" i="2"/>
  <c r="AK1149" i="2" s="1"/>
  <c r="AL1149" i="2" s="1"/>
  <c r="AM1149" i="2" s="1"/>
  <c r="AN1149" i="2" s="1"/>
  <c r="AJ712" i="2"/>
  <c r="AK712" i="2" s="1"/>
  <c r="AL712" i="2" s="1"/>
  <c r="AN712" i="2" s="1"/>
  <c r="AJ112" i="2"/>
  <c r="AK112" i="2" s="1"/>
  <c r="AL112" i="2" s="1"/>
  <c r="AN112" i="2" s="1"/>
  <c r="AJ874" i="2"/>
  <c r="AK874" i="2" s="1"/>
  <c r="AL874" i="2" s="1"/>
  <c r="AM874" i="2" s="1"/>
  <c r="AN874" i="2" s="1"/>
  <c r="AJ592" i="2"/>
  <c r="AK592" i="2" s="1"/>
  <c r="AL592" i="2" s="1"/>
  <c r="AN592" i="2" s="1"/>
  <c r="AJ612" i="2"/>
  <c r="AK612" i="2" s="1"/>
  <c r="AL612" i="2" s="1"/>
  <c r="AN612" i="2" s="1"/>
  <c r="AJ1177" i="2"/>
  <c r="AJ1254" i="2"/>
  <c r="AK1254" i="2" s="1"/>
  <c r="AL1254" i="2" s="1"/>
  <c r="AN1254" i="2" s="1"/>
  <c r="AJ1113" i="2"/>
  <c r="AK1113" i="2" s="1"/>
  <c r="AL1113" i="2" s="1"/>
  <c r="AM1113" i="2" s="1"/>
  <c r="AN1113" i="2" s="1"/>
  <c r="AJ1025" i="2"/>
  <c r="AK1025" i="2" s="1"/>
  <c r="AL1025" i="2" s="1"/>
  <c r="AN1025" i="2" s="1"/>
  <c r="AJ846" i="2"/>
  <c r="AK846" i="2" s="1"/>
  <c r="AL846" i="2" s="1"/>
  <c r="AN846" i="2" s="1"/>
  <c r="AJ628" i="2"/>
  <c r="AK628" i="2" s="1"/>
  <c r="AL628" i="2" s="1"/>
  <c r="AN628" i="2" s="1"/>
  <c r="AJ7" i="2"/>
  <c r="AJ45" i="2"/>
  <c r="AK45" i="2" s="1"/>
  <c r="AL45" i="2" s="1"/>
  <c r="AN45" i="2" s="1"/>
  <c r="O5" i="1" s="1"/>
  <c r="AJ674" i="2"/>
  <c r="AJ362" i="2"/>
  <c r="AJ1173" i="2"/>
  <c r="AJ114" i="2"/>
  <c r="AK114" i="2" s="1"/>
  <c r="AL114" i="2" s="1"/>
  <c r="AN114" i="2" s="1"/>
  <c r="AJ1170" i="2"/>
  <c r="AJ1162" i="2"/>
  <c r="AK1162" i="2" s="1"/>
  <c r="AL1162" i="2" s="1"/>
  <c r="AN1162" i="2" s="1"/>
  <c r="AJ573" i="2"/>
  <c r="AK573" i="2" s="1"/>
  <c r="AL573" i="2" s="1"/>
  <c r="AN573" i="2" s="1"/>
  <c r="AJ168" i="2"/>
  <c r="AK168" i="2" s="1"/>
  <c r="AL168" i="2" s="1"/>
  <c r="AM168" i="2" s="1"/>
  <c r="AN168" i="2" s="1"/>
  <c r="AJ785" i="2"/>
  <c r="AK785" i="2" s="1"/>
  <c r="AL785" i="2" s="1"/>
  <c r="AN785" i="2" s="1"/>
  <c r="AJ310" i="2"/>
  <c r="AK310" i="2" s="1"/>
  <c r="AL310" i="2" s="1"/>
  <c r="AM310" i="2" s="1"/>
  <c r="AN310" i="2" s="1"/>
  <c r="AJ366" i="2"/>
  <c r="AJ209" i="2"/>
  <c r="AJ440" i="2"/>
  <c r="AK440" i="2" s="1"/>
  <c r="AL440" i="2" s="1"/>
  <c r="AN440" i="2" s="1"/>
  <c r="AJ1250" i="2"/>
  <c r="AK1250" i="2" s="1"/>
  <c r="AL1250" i="2" s="1"/>
  <c r="AN1250" i="2" s="1"/>
  <c r="AJ1196" i="2"/>
  <c r="AK1196" i="2" s="1"/>
  <c r="AL1196" i="2" s="1"/>
  <c r="AN1196" i="2" s="1"/>
  <c r="N22" i="1"/>
  <c r="AJ345" i="2"/>
  <c r="AJ423" i="2"/>
  <c r="AJ878" i="2"/>
  <c r="AK878" i="2" s="1"/>
  <c r="AL878" i="2" s="1"/>
  <c r="AN878" i="2" s="1"/>
  <c r="AM860" i="2"/>
  <c r="AN860" i="2" s="1"/>
  <c r="AM267" i="2"/>
  <c r="AN267" i="2" s="1"/>
  <c r="AM182" i="2"/>
  <c r="AN182" i="2" s="1"/>
  <c r="AM329" i="2"/>
  <c r="AN329" i="2" s="1"/>
  <c r="AJ739" i="2"/>
  <c r="AK739" i="2" s="1"/>
  <c r="AL739" i="2" s="1"/>
  <c r="AN739" i="2" s="1"/>
  <c r="AJ689" i="2"/>
  <c r="AJ621" i="2"/>
  <c r="AK621" i="2" s="1"/>
  <c r="AL621" i="2" s="1"/>
  <c r="AN621" i="2" s="1"/>
  <c r="AJ927" i="2"/>
  <c r="AK927" i="2" s="1"/>
  <c r="AL927" i="2" s="1"/>
  <c r="AN927" i="2" s="1"/>
  <c r="AJ847" i="2"/>
  <c r="AK847" i="2" s="1"/>
  <c r="AL847" i="2" s="1"/>
  <c r="AN847" i="2" s="1"/>
  <c r="AJ1220" i="2"/>
  <c r="AK1220" i="2" s="1"/>
  <c r="AL1220" i="2" s="1"/>
  <c r="AN1220" i="2" s="1"/>
  <c r="AJ1104" i="2"/>
  <c r="AJ705" i="2"/>
  <c r="AK705" i="2" s="1"/>
  <c r="AL705" i="2" s="1"/>
  <c r="AN705" i="2" s="1"/>
  <c r="AJ410" i="2"/>
  <c r="AJ91" i="2"/>
  <c r="AK91" i="2" s="1"/>
  <c r="AL91" i="2" s="1"/>
  <c r="AN91" i="2" s="1"/>
  <c r="AJ930" i="2"/>
  <c r="AK930" i="2" s="1"/>
  <c r="AL930" i="2" s="1"/>
  <c r="AN930" i="2" s="1"/>
  <c r="O17" i="1" s="1"/>
  <c r="AJ911" i="2"/>
  <c r="AK911" i="2" s="1"/>
  <c r="AL911" i="2" s="1"/>
  <c r="AN911" i="2" s="1"/>
  <c r="AJ1069" i="2"/>
  <c r="AK1069" i="2" s="1"/>
  <c r="AL1069" i="2" s="1"/>
  <c r="AN1069" i="2" s="1"/>
  <c r="AJ146" i="2"/>
  <c r="AK146" i="2" s="1"/>
  <c r="AL146" i="2" s="1"/>
  <c r="AM146" i="2" s="1"/>
  <c r="AN146" i="2" s="1"/>
  <c r="AJ465" i="2"/>
  <c r="AK465" i="2" s="1"/>
  <c r="AL465" i="2" s="1"/>
  <c r="AN465" i="2" s="1"/>
  <c r="AJ613" i="2"/>
  <c r="AK613" i="2" s="1"/>
  <c r="AL613" i="2" s="1"/>
  <c r="AN613" i="2" s="1"/>
  <c r="AJ65" i="2"/>
  <c r="AK65" i="2" s="1"/>
  <c r="AL65" i="2" s="1"/>
  <c r="AN65" i="2" s="1"/>
  <c r="AJ110" i="2"/>
  <c r="AK110" i="2" s="1"/>
  <c r="AL110" i="2" s="1"/>
  <c r="AN110" i="2" s="1"/>
  <c r="AJ321" i="2"/>
  <c r="AK321" i="2" s="1"/>
  <c r="AL321" i="2" s="1"/>
  <c r="AM321" i="2" s="1"/>
  <c r="AN321" i="2" s="1"/>
  <c r="AJ504" i="2"/>
  <c r="AK504" i="2" s="1"/>
  <c r="AL504" i="2" s="1"/>
  <c r="AN504" i="2" s="1"/>
  <c r="AJ462" i="2"/>
  <c r="AK462" i="2" s="1"/>
  <c r="AL462" i="2" s="1"/>
  <c r="AN462" i="2" s="1"/>
  <c r="AJ152" i="2"/>
  <c r="AK152" i="2" s="1"/>
  <c r="AL152" i="2" s="1"/>
  <c r="AM152" i="2" s="1"/>
  <c r="AN152" i="2" s="1"/>
  <c r="AJ884" i="2"/>
  <c r="AJ616" i="2"/>
  <c r="AK616" i="2" s="1"/>
  <c r="AL616" i="2" s="1"/>
  <c r="AN616" i="2" s="1"/>
  <c r="AJ969" i="2"/>
  <c r="AK969" i="2" s="1"/>
  <c r="AL969" i="2" s="1"/>
  <c r="AN969" i="2" s="1"/>
  <c r="AJ817" i="2"/>
  <c r="AK817" i="2" s="1"/>
  <c r="AL817" i="2" s="1"/>
  <c r="AN817" i="2" s="1"/>
  <c r="O14" i="1" s="1"/>
  <c r="AJ1020" i="2"/>
  <c r="AK1020" i="2" s="1"/>
  <c r="AL1020" i="2" s="1"/>
  <c r="AN1020" i="2" s="1"/>
  <c r="AJ1072" i="2"/>
  <c r="AK1072" i="2" s="1"/>
  <c r="AL1072" i="2" s="1"/>
  <c r="AN1072" i="2" s="1"/>
  <c r="AJ1152" i="2"/>
  <c r="AK1152" i="2" s="1"/>
  <c r="AL1152" i="2" s="1"/>
  <c r="AN1152" i="2" s="1"/>
  <c r="AJ811" i="2"/>
  <c r="AK811" i="2" s="1"/>
  <c r="AL811" i="2" s="1"/>
  <c r="AN811" i="2" s="1"/>
  <c r="AJ338" i="2"/>
  <c r="AJ595" i="2"/>
  <c r="AK595" i="2" s="1"/>
  <c r="AL595" i="2" s="1"/>
  <c r="AN595" i="2" s="1"/>
  <c r="AJ569" i="2"/>
  <c r="AK569" i="2" s="1"/>
  <c r="AL569" i="2" s="1"/>
  <c r="AN569" i="2" s="1"/>
  <c r="AJ554" i="2"/>
  <c r="AK554" i="2" s="1"/>
  <c r="AL554" i="2" s="1"/>
  <c r="AN554" i="2" s="1"/>
  <c r="AJ1255" i="2"/>
  <c r="AK1255" i="2" s="1"/>
  <c r="AL1255" i="2" s="1"/>
  <c r="AN1255" i="2" s="1"/>
  <c r="AJ720" i="2"/>
  <c r="AK720" i="2" s="1"/>
  <c r="AL720" i="2" s="1"/>
  <c r="AN720" i="2" s="1"/>
  <c r="AJ1021" i="2"/>
  <c r="AK1021" i="2" s="1"/>
  <c r="AL1021" i="2" s="1"/>
  <c r="AN1021" i="2" s="1"/>
  <c r="AJ1163" i="2"/>
  <c r="AK1163" i="2" s="1"/>
  <c r="AL1163" i="2" s="1"/>
  <c r="AN1163" i="2" s="1"/>
  <c r="AJ583" i="2"/>
  <c r="AK583" i="2" s="1"/>
  <c r="AL583" i="2" s="1"/>
  <c r="AN583" i="2" s="1"/>
  <c r="AJ521" i="2"/>
  <c r="AK521" i="2" s="1"/>
  <c r="AL521" i="2" s="1"/>
  <c r="AN521" i="2" s="1"/>
  <c r="O13" i="1" s="1"/>
  <c r="AJ398" i="2"/>
  <c r="AJ676" i="2"/>
  <c r="AJ372" i="2"/>
  <c r="AJ1191" i="2"/>
  <c r="AK1191" i="2" s="1"/>
  <c r="AL1191" i="2" s="1"/>
  <c r="AN1191" i="2" s="1"/>
  <c r="AJ1000" i="2"/>
  <c r="AK1000" i="2" s="1"/>
  <c r="AL1000" i="2" s="1"/>
  <c r="AN1000" i="2" s="1"/>
  <c r="AJ614" i="2"/>
  <c r="AK614" i="2" s="1"/>
  <c r="AL614" i="2" s="1"/>
  <c r="AN614" i="2" s="1"/>
  <c r="AJ404" i="2"/>
  <c r="AK404" i="2" s="1"/>
  <c r="AL404" i="2" s="1"/>
  <c r="AN404" i="2" s="1"/>
  <c r="AJ540" i="2"/>
  <c r="AK540" i="2" s="1"/>
  <c r="AL540" i="2" s="1"/>
  <c r="AN540" i="2" s="1"/>
  <c r="AJ253" i="2"/>
  <c r="AK253" i="2" s="1"/>
  <c r="AL253" i="2" s="1"/>
  <c r="AN253" i="2" s="1"/>
  <c r="AJ249" i="2"/>
  <c r="AK249" i="2" s="1"/>
  <c r="AL249" i="2" s="1"/>
  <c r="AM249" i="2" s="1"/>
  <c r="AJ523" i="2"/>
  <c r="AK523" i="2" s="1"/>
  <c r="AL523" i="2" s="1"/>
  <c r="AN523" i="2" s="1"/>
  <c r="AJ130" i="2"/>
  <c r="AK130" i="2" s="1"/>
  <c r="AL130" i="2" s="1"/>
  <c r="AN130" i="2" s="1"/>
  <c r="AJ645" i="2"/>
  <c r="AK645" i="2" s="1"/>
  <c r="AL645" i="2" s="1"/>
  <c r="AN645" i="2" s="1"/>
  <c r="AJ137" i="2"/>
  <c r="AK137" i="2" s="1"/>
  <c r="AL137" i="2" s="1"/>
  <c r="AN137" i="2" s="1"/>
  <c r="AJ1101" i="2"/>
  <c r="AJ1167" i="2"/>
  <c r="AJ1180" i="2"/>
  <c r="AK1180" i="2" s="1"/>
  <c r="AL1180" i="2" s="1"/>
  <c r="AM1180" i="2" s="1"/>
  <c r="AN1180" i="2" s="1"/>
  <c r="O18" i="1"/>
  <c r="AJ971" i="2"/>
  <c r="AK971" i="2" s="1"/>
  <c r="AL971" i="2" s="1"/>
  <c r="AN971" i="2" s="1"/>
  <c r="AJ224" i="2"/>
  <c r="AK224" i="2" s="1"/>
  <c r="AL224" i="2" s="1"/>
  <c r="AM224" i="2" s="1"/>
  <c r="AN224" i="2" s="1"/>
  <c r="AJ83" i="2"/>
  <c r="AK83" i="2" s="1"/>
  <c r="AL83" i="2" s="1"/>
  <c r="AN83" i="2" s="1"/>
  <c r="AJ625" i="2"/>
  <c r="AK625" i="2" s="1"/>
  <c r="AL625" i="2" s="1"/>
  <c r="AN625" i="2" s="1"/>
  <c r="AJ754" i="2"/>
  <c r="AK754" i="2" s="1"/>
  <c r="AL754" i="2" s="1"/>
  <c r="AN754" i="2" s="1"/>
  <c r="AJ246" i="2"/>
  <c r="AK246" i="2" s="1"/>
  <c r="AL246" i="2" s="1"/>
  <c r="AN246" i="2" s="1"/>
  <c r="AJ563" i="2"/>
  <c r="AK563" i="2" s="1"/>
  <c r="AL563" i="2" s="1"/>
  <c r="AN563" i="2" s="1"/>
  <c r="AJ499" i="2"/>
  <c r="AK499" i="2" s="1"/>
  <c r="AL499" i="2" s="1"/>
  <c r="AN499" i="2" s="1"/>
  <c r="AJ568" i="2"/>
  <c r="AK568" i="2" s="1"/>
  <c r="AL568" i="2" s="1"/>
  <c r="AN568" i="2" s="1"/>
  <c r="AJ1087" i="2"/>
  <c r="AK1087" i="2" s="1"/>
  <c r="AL1087" i="2" s="1"/>
  <c r="AN1087" i="2" s="1"/>
  <c r="AJ717" i="2"/>
  <c r="AK717" i="2" s="1"/>
  <c r="AL717" i="2" s="1"/>
  <c r="AN717" i="2" s="1"/>
  <c r="AJ1287" i="2"/>
  <c r="AK1287" i="2" s="1"/>
  <c r="AL1287" i="2" s="1"/>
  <c r="AN1287" i="2" s="1"/>
  <c r="AJ256" i="2"/>
  <c r="AK256" i="2" s="1"/>
  <c r="AL256" i="2" s="1"/>
  <c r="AN256" i="2" s="1"/>
  <c r="AJ1158" i="2"/>
  <c r="AK1158" i="2" s="1"/>
  <c r="AL1158" i="2" s="1"/>
  <c r="AM1158" i="2" s="1"/>
  <c r="AN1158" i="2" s="1"/>
  <c r="AJ1019" i="2"/>
  <c r="AK1019" i="2" s="1"/>
  <c r="AL1019" i="2" s="1"/>
  <c r="AN1019" i="2" s="1"/>
  <c r="AJ1286" i="2"/>
  <c r="AK1286" i="2" s="1"/>
  <c r="AL1286" i="2" s="1"/>
  <c r="AN1286" i="2" s="1"/>
  <c r="AJ519" i="2"/>
  <c r="AK519" i="2" s="1"/>
  <c r="AL519" i="2" s="1"/>
  <c r="AN519" i="2" s="1"/>
  <c r="AJ10" i="2"/>
  <c r="AK10" i="2" s="1"/>
  <c r="AL10" i="2" s="1"/>
  <c r="AM10" i="2" s="1"/>
  <c r="AN10" i="2" s="1"/>
  <c r="AJ123" i="2"/>
  <c r="AK123" i="2" s="1"/>
  <c r="AL123" i="2" s="1"/>
  <c r="AN123" i="2" s="1"/>
  <c r="AJ414" i="2"/>
  <c r="AK414" i="2" s="1"/>
  <c r="AL414" i="2" s="1"/>
  <c r="AN414" i="2" s="1"/>
  <c r="AJ586" i="2"/>
  <c r="AK586" i="2" s="1"/>
  <c r="AL586" i="2" s="1"/>
  <c r="AN586" i="2" s="1"/>
  <c r="AJ880" i="2"/>
  <c r="AJ178" i="2"/>
  <c r="AK178" i="2" s="1"/>
  <c r="AL178" i="2" s="1"/>
  <c r="AN178" i="2" s="1"/>
  <c r="O9" i="1" s="1"/>
  <c r="AJ325" i="2"/>
  <c r="AK325" i="2" s="1"/>
  <c r="AL325" i="2" s="1"/>
  <c r="AJ724" i="2"/>
  <c r="AK724" i="2" s="1"/>
  <c r="AL724" i="2" s="1"/>
  <c r="AN724" i="2" s="1"/>
  <c r="AJ13" i="2"/>
  <c r="AK13" i="2" s="1"/>
  <c r="AL13" i="2" s="1"/>
  <c r="AM13" i="2" s="1"/>
  <c r="AN13" i="2" s="1"/>
  <c r="AJ494" i="2"/>
  <c r="AK494" i="2" s="1"/>
  <c r="AL494" i="2" s="1"/>
  <c r="AN494" i="2" s="1"/>
  <c r="AJ572" i="2"/>
  <c r="AK572" i="2" s="1"/>
  <c r="AL572" i="2" s="1"/>
  <c r="AN572" i="2" s="1"/>
  <c r="AJ1073" i="2"/>
  <c r="AK1073" i="2" s="1"/>
  <c r="AL1073" i="2" s="1"/>
  <c r="AN1073" i="2" s="1"/>
  <c r="AJ292" i="2"/>
  <c r="AK292" i="2" s="1"/>
  <c r="AL292" i="2" s="1"/>
  <c r="AN292" i="2" s="1"/>
  <c r="AJ792" i="2"/>
  <c r="AK792" i="2" s="1"/>
  <c r="AL792" i="2" s="1"/>
  <c r="AN792" i="2" s="1"/>
  <c r="AJ514" i="2"/>
  <c r="AK514" i="2" s="1"/>
  <c r="AL514" i="2" s="1"/>
  <c r="AN514" i="2" s="1"/>
  <c r="AJ1221" i="2"/>
  <c r="AK1221" i="2" s="1"/>
  <c r="AL1221" i="2" s="1"/>
  <c r="AN1221" i="2" s="1"/>
  <c r="AJ1036" i="2"/>
  <c r="AK1036" i="2" s="1"/>
  <c r="AL1036" i="2" s="1"/>
  <c r="AN1036" i="2" s="1"/>
  <c r="O19" i="1" s="1"/>
  <c r="AJ671" i="2"/>
  <c r="AJ431" i="2"/>
  <c r="AJ693" i="2"/>
  <c r="AK693" i="2" s="1"/>
  <c r="AL693" i="2" s="1"/>
  <c r="AN693" i="2" s="1"/>
  <c r="AJ502" i="2"/>
  <c r="AK502" i="2" s="1"/>
  <c r="AL502" i="2" s="1"/>
  <c r="AN502" i="2" s="1"/>
  <c r="AJ1117" i="2"/>
  <c r="AJ1094" i="2"/>
  <c r="AK1094" i="2" s="1"/>
  <c r="AL1094" i="2" s="1"/>
  <c r="AN1094" i="2" s="1"/>
  <c r="AJ826" i="2"/>
  <c r="AK826" i="2" s="1"/>
  <c r="AL826" i="2" s="1"/>
  <c r="AN826" i="2" s="1"/>
  <c r="AJ868" i="2"/>
  <c r="AK868" i="2" s="1"/>
  <c r="AL868" i="2" s="1"/>
  <c r="AJ1271" i="2"/>
  <c r="AK1271" i="2" s="1"/>
  <c r="AL1271" i="2" s="1"/>
  <c r="AN1271" i="2" s="1"/>
  <c r="AJ257" i="2"/>
  <c r="AK257" i="2" s="1"/>
  <c r="AL257" i="2" s="1"/>
  <c r="AN257" i="2" s="1"/>
  <c r="AJ131" i="2"/>
  <c r="AK131" i="2" s="1"/>
  <c r="AL131" i="2" s="1"/>
  <c r="AN131" i="2" s="1"/>
  <c r="AJ585" i="2"/>
  <c r="AK585" i="2" s="1"/>
  <c r="AL585" i="2" s="1"/>
  <c r="AN585" i="2" s="1"/>
  <c r="AJ101" i="2"/>
  <c r="AJ177" i="2"/>
  <c r="AK177" i="2" s="1"/>
  <c r="AL177" i="2" s="1"/>
  <c r="AJ622" i="2"/>
  <c r="AK622" i="2" s="1"/>
  <c r="AL622" i="2" s="1"/>
  <c r="AN622" i="2" s="1"/>
  <c r="AJ895" i="2"/>
  <c r="AK895" i="2" s="1"/>
  <c r="AL895" i="2" s="1"/>
  <c r="AN895" i="2" s="1"/>
  <c r="AJ287" i="2"/>
  <c r="AK287" i="2" s="1"/>
  <c r="AL287" i="2" s="1"/>
  <c r="AM287" i="2" s="1"/>
  <c r="AN287" i="2" s="1"/>
  <c r="AJ476" i="2"/>
  <c r="AK476" i="2" s="1"/>
  <c r="AL476" i="2" s="1"/>
  <c r="AN476" i="2" s="1"/>
  <c r="AJ98" i="2"/>
  <c r="AJ23" i="2"/>
  <c r="AK23" i="2" s="1"/>
  <c r="AL23" i="2" s="1"/>
  <c r="AJ252" i="2"/>
  <c r="AK252" i="2" s="1"/>
  <c r="AL252" i="2" s="1"/>
  <c r="AN252" i="2" s="1"/>
  <c r="AJ145" i="2"/>
  <c r="AK145" i="2" s="1"/>
  <c r="AL145" i="2" s="1"/>
  <c r="AM145" i="2" s="1"/>
  <c r="AN145" i="2" s="1"/>
  <c r="AJ598" i="2"/>
  <c r="AK598" i="2" s="1"/>
  <c r="AL598" i="2" s="1"/>
  <c r="AN598" i="2" s="1"/>
  <c r="AJ382" i="2"/>
  <c r="AJ567" i="2"/>
  <c r="AK567" i="2" s="1"/>
  <c r="AL567" i="2" s="1"/>
  <c r="AN567" i="2" s="1"/>
  <c r="AJ330" i="2"/>
  <c r="AK330" i="2" s="1"/>
  <c r="AL330" i="2" s="1"/>
  <c r="AN330" i="2" s="1"/>
  <c r="AJ1168" i="2"/>
  <c r="AJ763" i="2"/>
  <c r="AK763" i="2" s="1"/>
  <c r="AL763" i="2" s="1"/>
  <c r="AN763" i="2" s="1"/>
  <c r="AJ566" i="2"/>
  <c r="AK566" i="2" s="1"/>
  <c r="AL566" i="2" s="1"/>
  <c r="AN566" i="2" s="1"/>
  <c r="AJ1057" i="2"/>
  <c r="AK1057" i="2" s="1"/>
  <c r="AL1057" i="2" s="1"/>
  <c r="AN1057" i="2" s="1"/>
  <c r="AJ235" i="2"/>
  <c r="AK235" i="2" s="1"/>
  <c r="AL235" i="2" s="1"/>
  <c r="AM296" i="2"/>
  <c r="AN296" i="2" s="1"/>
  <c r="AM839" i="2"/>
  <c r="AN839" i="2" s="1"/>
  <c r="AM848" i="2"/>
  <c r="AN848" i="2" s="1"/>
  <c r="AM1123" i="2"/>
  <c r="AN1123" i="2" s="1"/>
  <c r="AM294" i="2"/>
  <c r="AN294" i="2" s="1"/>
  <c r="AM858" i="2"/>
  <c r="AN858" i="2" s="1"/>
  <c r="AM922" i="2"/>
  <c r="AN922" i="2" s="1"/>
  <c r="AM1210" i="2"/>
  <c r="AN1210" i="2" s="1"/>
  <c r="AM1142" i="2"/>
  <c r="AN1142" i="2" s="1"/>
  <c r="O10" i="1"/>
  <c r="AM1107" i="2"/>
  <c r="AN1107" i="2" s="1"/>
  <c r="AM928" i="2"/>
  <c r="AN928" i="2" s="1"/>
  <c r="AM863" i="2"/>
  <c r="AN863" i="2" s="1"/>
  <c r="AM916" i="2"/>
  <c r="AN916" i="2" s="1"/>
  <c r="AM238" i="2"/>
  <c r="AN238" i="2" s="1"/>
  <c r="AM160" i="2"/>
  <c r="AN160" i="2" s="1"/>
  <c r="AM218" i="2"/>
  <c r="AN218" i="2" s="1"/>
  <c r="AM842" i="2"/>
  <c r="AN842" i="2" s="1"/>
  <c r="AM1144" i="2"/>
  <c r="AN1144" i="2" s="1"/>
  <c r="AM254" i="2"/>
  <c r="AN254" i="2" s="1"/>
  <c r="AM1143" i="2"/>
  <c r="AN1143" i="2" s="1"/>
  <c r="AM151" i="2"/>
  <c r="AN151" i="2" s="1"/>
  <c r="AM311" i="2"/>
  <c r="AN311" i="2" s="1"/>
  <c r="AJ230" i="2"/>
  <c r="AK230" i="2" s="1"/>
  <c r="AL230" i="2" s="1"/>
  <c r="AM263" i="2"/>
  <c r="AN263" i="2" s="1"/>
  <c r="AM53" i="2"/>
  <c r="AN53" i="2" s="1"/>
  <c r="AM206" i="2"/>
  <c r="AN206" i="2" s="1"/>
  <c r="AJ1154" i="2"/>
  <c r="AK1154" i="2" s="1"/>
  <c r="AL1154" i="2" s="1"/>
  <c r="AJ708" i="2"/>
  <c r="AK708" i="2" s="1"/>
  <c r="AL708" i="2" s="1"/>
  <c r="AN708" i="2" s="1"/>
  <c r="AM233" i="2"/>
  <c r="AN233" i="2" s="1"/>
  <c r="AM165" i="2"/>
  <c r="AN165" i="2" s="1"/>
  <c r="AJ972" i="2"/>
  <c r="AK972" i="2" s="1"/>
  <c r="AL972" i="2" s="1"/>
  <c r="AN972" i="2" s="1"/>
  <c r="AJ1290" i="2"/>
  <c r="AK1290" i="2" s="1"/>
  <c r="AL1290" i="2" s="1"/>
  <c r="AN1290" i="2" s="1"/>
  <c r="AM1126" i="2"/>
  <c r="AN1126" i="2" s="1"/>
  <c r="AM1147" i="2"/>
  <c r="AN1147" i="2" s="1"/>
  <c r="AM1136" i="2"/>
  <c r="AN1136" i="2" s="1"/>
  <c r="AM1132" i="2"/>
  <c r="AN1132" i="2" s="1"/>
  <c r="O24" i="1"/>
  <c r="AM1115" i="2"/>
  <c r="AN1115" i="2" s="1"/>
  <c r="AJ551" i="2"/>
  <c r="AK551" i="2" s="1"/>
  <c r="AL551" i="2" s="1"/>
  <c r="AN551" i="2" s="1"/>
  <c r="AM324" i="2"/>
  <c r="AN324" i="2" s="1"/>
  <c r="AM173" i="2"/>
  <c r="AN173" i="2" s="1"/>
  <c r="AM1157" i="2"/>
  <c r="AN1157" i="2" s="1"/>
  <c r="AM1109" i="2"/>
  <c r="AN1109" i="2" s="1"/>
  <c r="AM245" i="2"/>
  <c r="AN245" i="2" s="1"/>
  <c r="AM1131" i="2"/>
  <c r="AN1131" i="2" s="1"/>
  <c r="AM8" i="2"/>
  <c r="AN8" i="2" s="1"/>
  <c r="AJ605" i="2"/>
  <c r="AK605" i="2" s="1"/>
  <c r="AL605" i="2" s="1"/>
  <c r="AN605" i="2" s="1"/>
  <c r="AM261" i="2"/>
  <c r="AN261" i="2" s="1"/>
  <c r="AJ1242" i="2"/>
  <c r="AK1242" i="2" s="1"/>
  <c r="AL1242" i="2" s="1"/>
  <c r="AN1242" i="2" s="1"/>
  <c r="AM856" i="2"/>
  <c r="AN856" i="2" s="1"/>
  <c r="AM225" i="2"/>
  <c r="AN225" i="2" s="1"/>
  <c r="AJ979" i="2"/>
  <c r="AK979" i="2" s="1"/>
  <c r="AL979" i="2" s="1"/>
  <c r="AN979" i="2" s="1"/>
  <c r="AJ984" i="2"/>
  <c r="AM33" i="2"/>
  <c r="AN33" i="2" s="1"/>
  <c r="AJ1091" i="2"/>
  <c r="AK1091" i="2" s="1"/>
  <c r="AL1091" i="2" s="1"/>
  <c r="AN1091" i="2" s="1"/>
  <c r="O20" i="1" s="1"/>
  <c r="AM1135" i="2"/>
  <c r="AN1135" i="2" s="1"/>
  <c r="AM175" i="2"/>
  <c r="AN175" i="2" s="1"/>
  <c r="AM255" i="2"/>
  <c r="AN255" i="2" s="1"/>
  <c r="AM20" i="2"/>
  <c r="AN20" i="2" s="1"/>
  <c r="AM1202" i="2"/>
  <c r="AN1202" i="2" s="1"/>
  <c r="AM282" i="2"/>
  <c r="AN282" i="2" s="1"/>
  <c r="AM43" i="2"/>
  <c r="AN43" i="2" s="1"/>
  <c r="AM1116" i="2"/>
  <c r="AN1116" i="2" s="1"/>
  <c r="AM1141" i="2"/>
  <c r="AN1141" i="2" s="1"/>
  <c r="AM18" i="2"/>
  <c r="AN18" i="2" s="1"/>
  <c r="AM227" i="2"/>
  <c r="AN227" i="2" s="1"/>
  <c r="AM323" i="2"/>
  <c r="AN323" i="2" s="1"/>
  <c r="AM150" i="2"/>
  <c r="AN150" i="2" s="1"/>
  <c r="AM845" i="2"/>
  <c r="AN845" i="2" s="1"/>
  <c r="AM6" i="2"/>
  <c r="AN6" i="2" s="1"/>
  <c r="AM1198" i="2"/>
  <c r="AN1198" i="2" s="1"/>
  <c r="AM1110" i="2"/>
  <c r="AN1110" i="2" s="1"/>
  <c r="AM144" i="2"/>
  <c r="AN144" i="2" s="1"/>
  <c r="AJ86" i="2"/>
  <c r="AK86" i="2" s="1"/>
  <c r="AL86" i="2" s="1"/>
  <c r="AN86" i="2" s="1"/>
  <c r="AM247" i="2"/>
  <c r="AN247" i="2" s="1"/>
  <c r="AM217" i="2"/>
  <c r="AN217" i="2" s="1"/>
  <c r="AM243" i="2"/>
  <c r="AN243" i="2" s="1"/>
  <c r="AM910" i="2"/>
  <c r="AN910" i="2" s="1"/>
  <c r="AJ1174" i="2"/>
  <c r="AK1174" i="2" s="1"/>
  <c r="AL1174" i="2" s="1"/>
  <c r="AJ688" i="2"/>
  <c r="AM295" i="2"/>
  <c r="AN295" i="2" s="1"/>
  <c r="AM167" i="2"/>
  <c r="AN167" i="2" s="1"/>
  <c r="AM244" i="2"/>
  <c r="AN244" i="2" s="1"/>
  <c r="AJ779" i="2"/>
  <c r="AK779" i="2" s="1"/>
  <c r="AL779" i="2" s="1"/>
  <c r="AN779" i="2" s="1"/>
  <c r="AM31" i="2"/>
  <c r="AN31" i="2" s="1"/>
  <c r="AM251" i="2"/>
  <c r="AN251" i="2" s="1"/>
  <c r="AM157" i="2"/>
  <c r="AN157" i="2" s="1"/>
  <c r="AM1182" i="2"/>
  <c r="AN1182" i="2" s="1"/>
  <c r="AJ61" i="2"/>
  <c r="AK61" i="2" s="1"/>
  <c r="AL61" i="2" s="1"/>
  <c r="AN61" i="2" s="1"/>
  <c r="AJ308" i="2"/>
  <c r="AK308" i="2" s="1"/>
  <c r="AL308" i="2" s="1"/>
  <c r="AN308" i="2" s="1"/>
  <c r="AM133" i="2"/>
  <c r="AN133" i="2" s="1"/>
  <c r="AJ74" i="2"/>
  <c r="AK74" i="2" s="1"/>
  <c r="AL74" i="2" s="1"/>
  <c r="AN74" i="2" s="1"/>
  <c r="AJ394" i="2"/>
  <c r="AJ49" i="2"/>
  <c r="AK49" i="2" s="1"/>
  <c r="AL49" i="2" s="1"/>
  <c r="AN49" i="2" s="1"/>
  <c r="AJ488" i="2"/>
  <c r="AK488" i="2" s="1"/>
  <c r="AL488" i="2" s="1"/>
  <c r="AN488" i="2" s="1"/>
  <c r="AJ617" i="2"/>
  <c r="AK617" i="2" s="1"/>
  <c r="AL617" i="2" s="1"/>
  <c r="AN617" i="2" s="1"/>
  <c r="AM148" i="2"/>
  <c r="AN148" i="2" s="1"/>
  <c r="AM1125" i="2"/>
  <c r="AN1125" i="2" s="1"/>
  <c r="AM1187" i="2"/>
  <c r="AN1187" i="2" s="1"/>
  <c r="AM871" i="2"/>
  <c r="AN871" i="2" s="1"/>
  <c r="AM1203" i="2"/>
  <c r="AN1203" i="2" s="1"/>
  <c r="AJ756" i="2"/>
  <c r="AK756" i="2" s="1"/>
  <c r="AL756" i="2" s="1"/>
  <c r="AN756" i="2" s="1"/>
  <c r="AM1195" i="2"/>
  <c r="AN1195" i="2" s="1"/>
  <c r="AM1194" i="2"/>
  <c r="AN1194" i="2" s="1"/>
  <c r="AM293" i="2"/>
  <c r="AN293" i="2" s="1"/>
  <c r="AM1120" i="2"/>
  <c r="AN1120" i="2" s="1"/>
  <c r="AM1189" i="2"/>
  <c r="AN1189" i="2" s="1"/>
  <c r="AJ882" i="2"/>
  <c r="AM51" i="2"/>
  <c r="AN51" i="2" s="1"/>
  <c r="AM899" i="2"/>
  <c r="AN899" i="2" s="1"/>
  <c r="AM1148" i="2"/>
  <c r="AN1148" i="2" s="1"/>
  <c r="AM1122" i="2"/>
  <c r="AN1122" i="2" s="1"/>
  <c r="M23" i="1" l="1"/>
  <c r="N16" i="1"/>
  <c r="N21" i="1"/>
  <c r="O8" i="1"/>
  <c r="O7" i="1"/>
  <c r="O23" i="1"/>
  <c r="M19" i="1"/>
  <c r="O12" i="1"/>
  <c r="M6" i="1"/>
  <c r="M14" i="1"/>
  <c r="N13" i="1"/>
  <c r="M15" i="1"/>
  <c r="M7" i="1"/>
  <c r="AM235" i="2"/>
  <c r="AN235" i="2" s="1"/>
  <c r="M8" i="1"/>
  <c r="M24" i="1"/>
  <c r="M20" i="1"/>
  <c r="AN249" i="2"/>
  <c r="AM868" i="2"/>
  <c r="AN868" i="2" s="1"/>
  <c r="M16" i="1" s="1"/>
  <c r="AM325" i="2"/>
  <c r="AN325" i="2" s="1"/>
  <c r="M12" i="1" s="1"/>
  <c r="M13" i="1"/>
  <c r="AM23" i="2"/>
  <c r="AN23" i="2" s="1"/>
  <c r="M5" i="1" s="1"/>
  <c r="M18" i="1"/>
  <c r="AM177" i="2"/>
  <c r="AN177" i="2" s="1"/>
  <c r="M9" i="1" s="1"/>
  <c r="N14" i="1"/>
  <c r="M17" i="1"/>
  <c r="AM1154" i="2"/>
  <c r="AN1154" i="2" s="1"/>
  <c r="M21" i="1" s="1"/>
  <c r="AM1174" i="2"/>
  <c r="AN1174" i="2" s="1"/>
  <c r="AM230" i="2"/>
  <c r="AN230" i="2" s="1"/>
  <c r="M22" i="1" l="1"/>
  <c r="M10" i="1"/>
</calcChain>
</file>

<file path=xl/sharedStrings.xml><?xml version="1.0" encoding="utf-8"?>
<sst xmlns="http://schemas.openxmlformats.org/spreadsheetml/2006/main" count="16371" uniqueCount="1448">
  <si>
    <t xml:space="preserve"> </t>
  </si>
  <si>
    <t>Quantidade de alunos por modalidade e tipo de financiamento</t>
  </si>
  <si>
    <t>Quantidade de alunos RIP</t>
  </si>
  <si>
    <t>Matrículas Totais</t>
  </si>
  <si>
    <t>UF</t>
  </si>
  <si>
    <t>Cidade</t>
  </si>
  <si>
    <t>Instituição</t>
  </si>
  <si>
    <t>Unidade de Ensino</t>
  </si>
  <si>
    <t>Presencial:
SEM PROGRAMA ASSOCIADO, MEDIOTEC, PROGRAMA EJA INTEGRADA - EPT (SEB/MEC)</t>
  </si>
  <si>
    <t>EAD:
UAB,
OUTROS RECURSOS EXTERNOS, E-TEC, PROGRAMA EJA INTEGRADA - EPT (SEB/MEC)</t>
  </si>
  <si>
    <t>EAD:
APRENDA MAIS
OUTROS MOOC
SEM PROGRAMA ASSOCIADO</t>
  </si>
  <si>
    <t>ALUNOS NÃO CONTABILIZADOS (fora parâmetros matriz)</t>
  </si>
  <si>
    <t>Total alunos
(2ª fase)</t>
  </si>
  <si>
    <t xml:space="preserve"> 2023/01</t>
  </si>
  <si>
    <t>2023/02</t>
  </si>
  <si>
    <t>QRIP
Média</t>
  </si>
  <si>
    <t>Presencial:
SEM PROGRAMA ASSOCIADO e MEDIOTEC</t>
  </si>
  <si>
    <t>EAD
UAB, OUTROS RECURSOS EXTERNOS</t>
  </si>
  <si>
    <t>EAD
APRENDA MAIS
OUTROS MOOC
SEM PROGRAMA ASSOCIADO</t>
  </si>
  <si>
    <t>MT</t>
  </si>
  <si>
    <t>ALTA FLORESTA</t>
  </si>
  <si>
    <t>IFMT</t>
  </si>
  <si>
    <t>CAMPUS ALTA FLORESTA</t>
  </si>
  <si>
    <t>LUCAS DO RIO VERDE</t>
  </si>
  <si>
    <t>CAMPUS AVANCADO LUCAS DO RIO VERDE</t>
  </si>
  <si>
    <t>SINOP</t>
  </si>
  <si>
    <t>CAMPUS AVANCADO SINOP</t>
  </si>
  <si>
    <t>BARRA DO GARÇAS</t>
  </si>
  <si>
    <t>CAMPUS BARRA DO GARCAS</t>
  </si>
  <si>
    <t>CÁCERES</t>
  </si>
  <si>
    <t>CAMPUS CACERES</t>
  </si>
  <si>
    <t>CAMPO NOVO DO PARECIS</t>
  </si>
  <si>
    <t>CAMPUS CAMPO NOVO DO PARECIS</t>
  </si>
  <si>
    <t>CAMPO VERDE</t>
  </si>
  <si>
    <t>CAMPUS CAMPO VERDE</t>
  </si>
  <si>
    <t>CONFRESA</t>
  </si>
  <si>
    <t>CAMPUS CONFRESA</t>
  </si>
  <si>
    <t>CUIABÁ</t>
  </si>
  <si>
    <t>CAMPUS CUIABA</t>
  </si>
  <si>
    <t>CAMPUS CUIABA BELA VISTA</t>
  </si>
  <si>
    <t>DIAMANTINO</t>
  </si>
  <si>
    <t>CAMPUS DIAMANTINO</t>
  </si>
  <si>
    <t>GUARANTÃ DO NORTE</t>
  </si>
  <si>
    <t>CAMPUS GUARANTA DO NORTE</t>
  </si>
  <si>
    <t>JUÍNA</t>
  </si>
  <si>
    <t>CAMPUS JUINA</t>
  </si>
  <si>
    <t>PONTES E LACERDA</t>
  </si>
  <si>
    <t>CAMPUS PONTES E LACERDA</t>
  </si>
  <si>
    <t>PRIMAVERA DO LESTE</t>
  </si>
  <si>
    <t>CAMPUS PRIMAVERA DO LESTE</t>
  </si>
  <si>
    <t>RONDONÓPOLIS</t>
  </si>
  <si>
    <t>CAMPUS RONDONOPOLIS</t>
  </si>
  <si>
    <t>SANTO ANTÔNIO DO LEVERGER</t>
  </si>
  <si>
    <t>CAMPUS SAO VICENTE</t>
  </si>
  <si>
    <t>SORRISO</t>
  </si>
  <si>
    <t>CAMPUS SORRISO</t>
  </si>
  <si>
    <t>TANGARÁ DA SERRA</t>
  </si>
  <si>
    <t>CAMPUS TANGARA DA SERRA</t>
  </si>
  <si>
    <t>VÁRZEA GRANDE</t>
  </si>
  <si>
    <t>CAMPUS VARZEA GRANDE</t>
  </si>
  <si>
    <t>versão 8.5</t>
  </si>
  <si>
    <t>Modalidade de Ensino</t>
  </si>
  <si>
    <t>Tipo de 
Financiamento</t>
  </si>
  <si>
    <t>Tipo de 
Curso</t>
  </si>
  <si>
    <t>Nome do curso</t>
  </si>
  <si>
    <t>Área ou Eixo</t>
  </si>
  <si>
    <t>Curso de Agropecuária</t>
  </si>
  <si>
    <t>Tipo de Oferta</t>
  </si>
  <si>
    <t>Ciclo da matrícula</t>
  </si>
  <si>
    <t>Nome do Ciclo</t>
  </si>
  <si>
    <t>DIC 
 Data de início de cliclo</t>
  </si>
  <si>
    <t>DTC 
 Data prevista de término do ciclo</t>
  </si>
  <si>
    <t>CHC 
 Carga horária do ciclo</t>
  </si>
  <si>
    <t>CHMC
 Carga horária do catálogo do MEC</t>
  </si>
  <si>
    <t>CHM
Carga horária
p/ Matriz</t>
  </si>
  <si>
    <t>PC 
 Peso do curso</t>
  </si>
  <si>
    <t>QTDC 
 Quantidade de dias do Ciclo 
 QDTC = DTC - DIC + 1</t>
  </si>
  <si>
    <t>CHMD 
 Carga Horária Média Diária 
 CHMD = CHM/QDTC</t>
  </si>
  <si>
    <t>CHA 
 Carga Horária Anualizada 
 CHA = SE(QDTC&gt;365;CHMD*365;CHM)</t>
  </si>
  <si>
    <t>FECH 
 Fator de Equalização de Carga Horária 
 FECH = SE(QDTC&gt;365;CHA/800;CHC/800)</t>
  </si>
  <si>
    <t xml:space="preserve"> CALCULO DAS 
MATRICULAS TOTAIS 
PARA 2023</t>
  </si>
  <si>
    <t>DIP1P 
 Dt. Início do período em 
 2023</t>
  </si>
  <si>
    <t>DFP1P 
 Dt. Término do período em 
 2023</t>
  </si>
  <si>
    <t>QTM1P 
 Qtd. Matrículas em 
 2023</t>
  </si>
  <si>
    <t>DACP1 Dias Ativos do Ciclo no Período
1 - começa antes do início do período
e
termina depois do final do período
DACP1=SE(E(DIC&lt;DIP2023;DTC&gt;DFP2023);DFP2023-DIP2023+1;0)</t>
  </si>
  <si>
    <t>DACP2 Dias Ativos do Ciclo no Período 
2 - começa dentro do período
e
temina depois do final do período
DACP2=SE(E(DIC&gt;=DIP2023;DTC&gt;DFP2023;DIC&lt;DFP2023);DFP2023-DIC+1;0)</t>
  </si>
  <si>
    <t>DACP3 Dias Ativos do Ciclo no Período 3 - começa antes do início do período e termina antes do final do período DACP3=SE(E(DIC&lt;DIP20152;DTC&lt;=DFP20152;DTC&gt;=DIP20152);DTC-DIP20152+1;0)</t>
  </si>
  <si>
    <t>DACP4 Dias Ativos do Ciclo no Período 
 4 - começa depois do início do período
e
termina antes  do final do período
DACP4=SE(E(DIC&gt;=DIP2023;DTC&lt;=DFP2023);DTC-DIC+1;0)</t>
  </si>
  <si>
    <t>DACP5 Dias Ativos do Ciclo no Período 
 5 - começa antes do início do período
e
termina antes  do início do período
DACP5=SE(E(DIC&lt;DIP2023;DTC&lt;DIP2023);(DFP2023-DIP2023+1)/2;0)</t>
  </si>
  <si>
    <t>FEDA
Fator de Equalização de Dias Ativos
FEDA=SOMA(DACP DE 1 A 5)
/(DFP2023-DIP2023+1)*</t>
  </si>
  <si>
    <t>FECHDA
Fator de Equalização de Carga Horária e Dias Ativos
FECHDA=FECH*FEDA</t>
  </si>
  <si>
    <t>MECHDA
Matrículas Equalizadas por  Carga Horária e Dias Ativos
MECHDA=SE(DACP5=0;FECHDA*QTM2023;SE(DIP2023-DTC&gt;1095;0;FECHDA*(QTM2023/2)))</t>
  </si>
  <si>
    <t>MP
Matrículas Ponderadas
MP=MECHDA*PC</t>
  </si>
  <si>
    <t>BA
Bônus Agropecuária
BA=SE(Agropecuária="SIM";
MP*50%;0)</t>
  </si>
  <si>
    <t>MT2023
Matrículas Totais para 2023
MT2023=MP+BA</t>
  </si>
  <si>
    <t>Situação de acordo com o tipo de financiamento</t>
  </si>
  <si>
    <t>ENSINO PRESENCIAL</t>
  </si>
  <si>
    <t>OUTROS RECURSOS EXTERNOS</t>
  </si>
  <si>
    <t>BACHARELADO</t>
  </si>
  <si>
    <t>ADMINISTRACAO</t>
  </si>
  <si>
    <t>GESTAO E NEGOCIOS</t>
  </si>
  <si>
    <t>NÃO</t>
  </si>
  <si>
    <t>PRESENCIAL</t>
  </si>
  <si>
    <t>SEM PROGRAMA ASSOCIADO</t>
  </si>
  <si>
    <t>ZOOTECNIA</t>
  </si>
  <si>
    <t>RECURSOS NATURAIS</t>
  </si>
  <si>
    <t>SIM</t>
  </si>
  <si>
    <t>ZOOTECNIA  15/02/2016 22/12/2020</t>
  </si>
  <si>
    <t>ENSINO PRESENCIAL - MEDIOTEC</t>
  </si>
  <si>
    <t>ADMINISTRACAO  13/02/2017 31/12/2020</t>
  </si>
  <si>
    <t>ENSINO A DISTANCIA - UAB (UNIVERSIDADE ABERTA DO BRASIL)</t>
  </si>
  <si>
    <t>EAD</t>
  </si>
  <si>
    <t>ZOOTECNIA  13/02/2017 31/12/2021</t>
  </si>
  <si>
    <t>ENSINO A DISTANCIA - OUTROS RECURSOS EXTERNOS</t>
  </si>
  <si>
    <t>TECNICO</t>
  </si>
  <si>
    <t>TECNICO EM ADMINISTRACAO</t>
  </si>
  <si>
    <t>INTEGRADO</t>
  </si>
  <si>
    <t>TECNICO EM ADMINISTRACAO INTEGRADO 13/02/2017 30/12/2019</t>
  </si>
  <si>
    <t>ENSINO A DISTANCIA - E-TEC</t>
  </si>
  <si>
    <t>TECNICO EM AGROPECUARIA</t>
  </si>
  <si>
    <t>TECNICO EM AGROPECUARIA INTEGRADO 05/02/2018 30/12/2021</t>
  </si>
  <si>
    <t>ENSINO A DISTANCIA - APRENDA MAIS</t>
  </si>
  <si>
    <t>EAD FP</t>
  </si>
  <si>
    <t>ADMINISTRACAO  05/02/2018 30/12/2021</t>
  </si>
  <si>
    <t>ENSINO A DISTANCIA - OUTROS MOOC</t>
  </si>
  <si>
    <t>ZOOTECNIA  05/02/2018 30/12/2022</t>
  </si>
  <si>
    <t>ENSINO A DISTANCIA - PROGRAMA EJA INTEGRADA - EPT (SEB/MEC)</t>
  </si>
  <si>
    <t>TECNOLOGIA</t>
  </si>
  <si>
    <t>GESTAO DE RECURSOS HUMANOS</t>
  </si>
  <si>
    <t>GESTAO DE RECURSOS HUMANOS  30/07/2018 30/07/2020</t>
  </si>
  <si>
    <t>ENSINO A DISTANCIA - SEM PROGRAMA ASSOCIADO</t>
  </si>
  <si>
    <t>TECNICO EM ADMINISTRACAO INTEGRADO 04/02/2019 30/12/2021</t>
  </si>
  <si>
    <t>ENSINO PRESENCIAL - PROGRAMA EJA INTEGRADA - EPT (SEB/MEC)</t>
  </si>
  <si>
    <t>TECNICO EM AGROPECUARIA INTEGRADO 04/02/2019 30/12/2021</t>
  </si>
  <si>
    <t>ADMINISTRACAO  04/02/2019 30/12/2022</t>
  </si>
  <si>
    <t>ZOOTECNIA  04/02/2019 30/12/2023</t>
  </si>
  <si>
    <t>GESTAO DE RECURSOS HUMANOS  22/07/2019 31/07/2021</t>
  </si>
  <si>
    <t>TECNICO EM ADMINISTRACAO INTEGRADO 03/02/2020 18/12/2022</t>
  </si>
  <si>
    <t>TECNICO EM AGROPECUARIA INTEGRADO 03/02/2020 18/12/2022</t>
  </si>
  <si>
    <t>ADMINISTRACAO  03/02/2020 18/12/2023</t>
  </si>
  <si>
    <t>ZOOTECNIA  03/02/2020 18/12/2024</t>
  </si>
  <si>
    <t>GESTAO DE RECURSOS HUMANOS  10/11/2020 30/11/2022</t>
  </si>
  <si>
    <t>TECNICO EM ADMINISTRACAO INTEGRADO 19/04/2021 30/12/2023</t>
  </si>
  <si>
    <t>TECNICO EM AGROPECUARIA INTEGRADO 19/04/2021 30/12/2023</t>
  </si>
  <si>
    <t>ZOOTECNIA  19/04/2021 30/12/2025</t>
  </si>
  <si>
    <t>ADMINISTRACAO  19/04/2021 30/12/2024</t>
  </si>
  <si>
    <t>ADMINISTRACAO  19/04/2021 20/04/2025</t>
  </si>
  <si>
    <t>GESTAO DE RECURSOS HUMANOS  13/09/2021 15/09/2023</t>
  </si>
  <si>
    <t>ADMINISTRACAO  13/09/2021 30/09/2025</t>
  </si>
  <si>
    <t>GESTAO DE RECURSOS HUMANOS  13/09/2021 30/09/2023</t>
  </si>
  <si>
    <t>TECNICO EM ADMINISTRACAO INTEGRADO 14/03/2022 17/02/2025</t>
  </si>
  <si>
    <t>TECNICO EM AGROPECUARIA INTEGRADO 14/03/2022 17/02/2025</t>
  </si>
  <si>
    <t>ADMINISTRACAO  14/03/2022 17/02/2026</t>
  </si>
  <si>
    <t>ZOOTECNIA  14/03/2022 17/02/2027</t>
  </si>
  <si>
    <t>ADMINISTRACAO  14/03/2022 28/02/2026</t>
  </si>
  <si>
    <t>QUALIFICACAO PROFISSIONAL (FIC)</t>
  </si>
  <si>
    <t>CUIDADOR INFANTIL</t>
  </si>
  <si>
    <t>AMBIENTE E SAUDE</t>
  </si>
  <si>
    <t>CUIDADOR INFANTIL  14/06/2022 28/09/2022</t>
  </si>
  <si>
    <t>QUALIFICACAO PROFISSIONAL - GESTAO E NEGOCIOS</t>
  </si>
  <si>
    <t>QUALIFICACAO PROFISSIONAL - GESTAO E NEGOCIOS  01/08/2022 30/06/2024</t>
  </si>
  <si>
    <t>QUALIFICACAO PROFISSIONAL - INFORMACAO E COMUNICACAO</t>
  </si>
  <si>
    <t>INFORMACAO E COMUNICACAO</t>
  </si>
  <si>
    <t>CONCOMITANTE</t>
  </si>
  <si>
    <t>QUALIFICACAO PROFISSIONAL - INFORMACAO E COMUNICACAO CONCOMITANTE 01/08/2022 01/08/2023</t>
  </si>
  <si>
    <t>GESTAO DE RECURSOS HUMANOS  30/08/2022 30/08/2024</t>
  </si>
  <si>
    <t>AGENTE DE COMBATE AS ENDEMIAS</t>
  </si>
  <si>
    <t>AGENTE DE COMBATE AS ENDEMIAS INTEGRADO 06/10/2022 28/02/2023</t>
  </si>
  <si>
    <t>TECNICO EM ADMINISTRACAO INTEGRADO 07/03/2023 22/12/2025</t>
  </si>
  <si>
    <t>TECNICO EM AGROPECUARIA INTEGRADO 07/03/2023 22/12/2025</t>
  </si>
  <si>
    <t>ADMINISTRACAO  07/03/2023 08/03/2027</t>
  </si>
  <si>
    <t>ZOOTECNIA  07/03/2023 23/12/2027</t>
  </si>
  <si>
    <t>ENSINO A DISTANCIA</t>
  </si>
  <si>
    <t>TECNICO EM ALIMENTACAO ESCOLAR</t>
  </si>
  <si>
    <t>DESENVOLVIMENTO EDUCACIONAL E SOCIAL</t>
  </si>
  <si>
    <t>SUBSEQUENTE</t>
  </si>
  <si>
    <t>TECNICO EM ALIMENTACAO ESCOLAR SUBSEQUENTE 03/04/2023 31/08/2024</t>
  </si>
  <si>
    <t>TECNICO EM INFRAESTRUTURA ESCOLAR</t>
  </si>
  <si>
    <t>TECNICO EM INFRAESTRUTURA ESCOLAR SUBSEQUENTE 03/04/2023 31/08/2024</t>
  </si>
  <si>
    <t>TECNICO EM SECRETARIA ESCOLAR</t>
  </si>
  <si>
    <t>TECNICO EM SECRETARIA ESCOLAR SUBSEQUENTE 03/04/2023 31/08/2024</t>
  </si>
  <si>
    <t>PROGRAMA EJA INTEGRADA - EPT (SEB/MEC)</t>
  </si>
  <si>
    <t>QUALIFICACAO PROFISSIONAL - RECURSOS NATURAIS</t>
  </si>
  <si>
    <t>PROEJA - CONCOMITANTE</t>
  </si>
  <si>
    <t>QUALIFICACAO PROFISSIONAL - RECURSOS NATURAIS PROEJA - CONCOMITANTE 02/05/2023 30/10/2023</t>
  </si>
  <si>
    <t>ESPECIALIZACAO (LATO SENSU)</t>
  </si>
  <si>
    <t>ESPECIALIZACAO - GESTAO E NEGOCIOS</t>
  </si>
  <si>
    <t>ESPECIALIZACAO - GESTAO E NEGOCIOS  19/06/2023 20/05/2024</t>
  </si>
  <si>
    <t>GESTAO DE RECURSOS HUMANOS  14/08/2023 30/08/2025</t>
  </si>
  <si>
    <t>TECNICO EM ADMINISTRACAO INTEGRADO 05/02/2024 22/12/2026</t>
  </si>
  <si>
    <t>TECNICO EM AGROPECUARIA INTEGRADO 05/02/2024 22/12/2026</t>
  </si>
  <si>
    <t>ADMINISTRACAO  19/02/2024 22/12/2027</t>
  </si>
  <si>
    <t>ZOOTECNIA  19/02/2024 22/12/2028</t>
  </si>
  <si>
    <t>ENGENHARIA DE BIOPROCESSOS</t>
  </si>
  <si>
    <t>PRODUCAO INDUSTRIAL</t>
  </si>
  <si>
    <t>ENGENHARIA DE BIOPROCESSOS  06/02/2017 23/12/2020</t>
  </si>
  <si>
    <t>TECNICO EM BIOTECNOLOGIA</t>
  </si>
  <si>
    <t>TECNICO EM BIOTECNOLOGIA INTEGRADO 06/02/2017 23/12/2019</t>
  </si>
  <si>
    <t>ENGENHARIA DE BIOPROCESSOS  19/02/2018 23/12/2021</t>
  </si>
  <si>
    <t>TECNICO EM BIOTECNOLOGIA INTEGRADO 04/02/2019 24/12/2021</t>
  </si>
  <si>
    <t>ENGENHARIA DE BIOPROCESSOS  04/02/2019 23/12/2022</t>
  </si>
  <si>
    <t>TECNICO EM BIOTECNOLOGIA INTEGRADO 03/02/2020 23/12/2022</t>
  </si>
  <si>
    <t>ENGENHARIA DE BIOPROCESSOS  03/02/2020 22/12/2023</t>
  </si>
  <si>
    <t>TECNICO EM BIOTECNOLOGIA INTEGRADO 22/03/2021 22/12/2023</t>
  </si>
  <si>
    <t>ENGENHARIA DE BIOPROCESSOS  22/03/2021 20/12/2024</t>
  </si>
  <si>
    <t>TECNICO EM BIOTECNOLOGIA INTEGRADO 21/02/2022 20/12/2024</t>
  </si>
  <si>
    <t>ENGENHARIA DE BIOPROCESSOS  21/02/2022 19/12/2025</t>
  </si>
  <si>
    <t>TECNICO EM BIOTECNOLOGIA INTEGRADO 30/01/2023 19/12/2025</t>
  </si>
  <si>
    <t>ENGENHARIA DE BIOPROCESSOS  30/01/2023 18/12/2026</t>
  </si>
  <si>
    <t>TECNICO EM AUTOMACAO INDUSTRIAL</t>
  </si>
  <si>
    <t>CONTROLE E PROCESSOS INDUSTRIAIS</t>
  </si>
  <si>
    <t>TECNICO EM AUTOMACAO INDUSTRIAL INTEGRADO 04/02/2019 23/12/2021</t>
  </si>
  <si>
    <t>TECNICO EM ELETROMECANICA</t>
  </si>
  <si>
    <t>TECNICO EM ELETROMECANICA INTEGRADO 04/02/2019 23/12/2021</t>
  </si>
  <si>
    <t>TECNICO EM COMERCIO</t>
  </si>
  <si>
    <t>TECNICO EM COMERCIO SUBSEQUENTE 29/07/2019 23/12/2020</t>
  </si>
  <si>
    <t>TECNICO EM AUTOMACAO INDUSTRIAL INTEGRADO 03/02/2020 31/12/2022</t>
  </si>
  <si>
    <t>TECNICO EM ELETROMECANICA INTEGRADO 03/02/2020 31/12/2022</t>
  </si>
  <si>
    <t>TECNICO EM ADMINISTRACAO SUBSEQUENTE 29/03/2021 29/07/2022</t>
  </si>
  <si>
    <t>TECNICO EM ELETROMECANICA SUBSEQUENTE 29/03/2021 29/07/2022</t>
  </si>
  <si>
    <t>TECNICO EM ELETROMECANICA INTEGRADO 29/03/2021 29/12/2023</t>
  </si>
  <si>
    <t>TECNICO EM AUTOMACAO INDUSTRIAL INTEGRADO 29/03/2021 29/12/2023</t>
  </si>
  <si>
    <t>TECNICO EM ADMINISTRACAO SUBSEQUENTE 11/08/2021 31/12/2022</t>
  </si>
  <si>
    <t>TECNICO EM AUTOMACAO INDUSTRIAL INTEGRADO 01/02/2022 24/12/2024</t>
  </si>
  <si>
    <t>TECNICO EM ELETROMECANICA INTEGRADO 01/02/2022 24/12/2024</t>
  </si>
  <si>
    <t>TECNICO EM ADMINISTRACAO SUBSEQUENTE 01/02/2022 29/07/2023</t>
  </si>
  <si>
    <t>TECNICO EM ELETROMECANICA SUBSEQUENTE 01/02/2022 30/07/2023</t>
  </si>
  <si>
    <t>ESPECIALIZACAO - SEGURANCA</t>
  </si>
  <si>
    <t>SEGURANCA</t>
  </si>
  <si>
    <t>ESPECIALIZACAO - SEGURANCA  15/03/2022 15/03/2023</t>
  </si>
  <si>
    <t>AUXILIAR PEDAGOGICO</t>
  </si>
  <si>
    <t>AUXILIAR PEDAGOGICO  01/04/2022 31/05/2022</t>
  </si>
  <si>
    <t>TECNICO EM ADMINISTRACAO SUBSEQUENTE 25/07/2022 25/01/2024</t>
  </si>
  <si>
    <t>AUXILIAR PEDAGOGICO PROEJA - CONCOMITANTE 27/07/2022 15/10/2022</t>
  </si>
  <si>
    <t>AUXILIAR PEDAGOGICO PROEJA - CONCOMITANTE 13/08/2022 05/11/2022</t>
  </si>
  <si>
    <t>AGENTE DE PROJETOS SOCIAIS</t>
  </si>
  <si>
    <t>AGENTE DE PROJETOS SOCIAIS CONCOMITANTE 16/08/2022 15/12/2022</t>
  </si>
  <si>
    <t>AUXILIAR PEDAGOGICO PROEJA - CONCOMITANTE 02/09/2022 30/11/2022</t>
  </si>
  <si>
    <t>TECNICO EM AUTOMACAO INDUSTRIAL INTEGRADO 02/02/2023 24/12/2025</t>
  </si>
  <si>
    <t>TECNICO EM ELETROMECANICA INTEGRADO 02/02/2023 24/12/2025</t>
  </si>
  <si>
    <t>TECNICO EM ADMINISTRACAO SUBSEQUENTE 02/02/2023 30/07/2024</t>
  </si>
  <si>
    <t>AUXILIAR PEDAGOGICO PROEJA - CONCOMITANTE 10/04/2023 15/06/2023</t>
  </si>
  <si>
    <t>TECNICO EM ADMINISTRACAO SUBSEQUENTE 17/07/2023 31/12/2024</t>
  </si>
  <si>
    <t>AUXILIAR PEDAGOGICO PROEJA - CONCOMITANTE 01/10/2023 31/01/2024</t>
  </si>
  <si>
    <t>TECNICO EM COMERCIO INTEGRADO 01/04/2013 23/12/2015</t>
  </si>
  <si>
    <t>TECNICO EM COMERCIO INTEGRADO 27/04/2016 31/01/2019</t>
  </si>
  <si>
    <t>TECNICO EM COMERCIO INTEGRADO 08/03/2017 30/12/2019</t>
  </si>
  <si>
    <t>TECNICO EM INFORMATICA</t>
  </si>
  <si>
    <t>TECNICO EM INFORMATICA INTEGRADO 08/03/2017 30/12/2019</t>
  </si>
  <si>
    <t>TECNICO EM MANUTENCAO E SUPORTE EM INFORMATICA</t>
  </si>
  <si>
    <t>TECNICO EM MANUTENCAO E SUPORTE EM INFORMATICA SUBSEQUENTE 19/02/2018 30/08/2019</t>
  </si>
  <si>
    <t>GESTAO PUBLICA</t>
  </si>
  <si>
    <t>GESTAO PUBLICA  19/02/2018 23/12/2020</t>
  </si>
  <si>
    <t>TECNICO EM INFORMATICA INTEGRADO 19/02/2018 23/12/2020</t>
  </si>
  <si>
    <t>TECNICO EM ALIMENTOS</t>
  </si>
  <si>
    <t>PRODUCAO ALIMENTICIA</t>
  </si>
  <si>
    <t>TECNICO EM ALIMENTOS INTEGRADO 19/02/2018 23/12/2020</t>
  </si>
  <si>
    <t>TECNICO EM CONTROLE AMBIENTAL</t>
  </si>
  <si>
    <t>TECNICO EM CONTROLE AMBIENTAL INTEGRADO 19/02/2018 23/12/2020</t>
  </si>
  <si>
    <t>TECNICO EM ADMINISTRACAO INTEGRADO 19/02/2018 30/12/2020</t>
  </si>
  <si>
    <t>TECNICO EM SECRETARIADO</t>
  </si>
  <si>
    <t>TECNICO EM SECRETARIADO SUBSEQUENTE 01/08/2018 30/12/2019</t>
  </si>
  <si>
    <t>TECNICO EM ADMINISTRACAO INTEGRADO 04/02/2019 31/12/2021</t>
  </si>
  <si>
    <t>TECNICO EM ALIMENTOS INTEGRADO 04/02/2019 31/12/2021</t>
  </si>
  <si>
    <t>TECNICO EM CONTROLE AMBIENTAL INTEGRADO 04/02/2019 31/12/2021</t>
  </si>
  <si>
    <t>TECNICO EM MANUTENCAO E SUPORTE EM INFORMATICA SUBSEQUENTE 04/02/2019 31/07/2020</t>
  </si>
  <si>
    <t>TECNICO EM SECRETARIADO SUBSEQUENTE 04/02/2019 31/07/2020</t>
  </si>
  <si>
    <t>GESTAO PUBLICA  04/02/2019 31/12/2021</t>
  </si>
  <si>
    <t>ESPECIALIZACAO - RECURSOS NATURAIS</t>
  </si>
  <si>
    <t>ESPECIALIZACAO - RECURSOS NATURAIS  31/05/2019 20/12/2020</t>
  </si>
  <si>
    <t>TECNICO EM ADMINISTRACAO INTEGRADO 03/02/2020 30/12/2022</t>
  </si>
  <si>
    <t>TECNICO EM CONTROLE AMBIENTAL INTEGRADO 03/02/2020 30/12/2022</t>
  </si>
  <si>
    <t>TECNICO EM INFORMATICA INTEGRADO 03/02/2020 30/12/2022</t>
  </si>
  <si>
    <t>TECNICO EM ALIMENTOS INTEGRADO 03/02/2020 30/12/2022</t>
  </si>
  <si>
    <t>GESTAO PUBLICA  03/02/2020 30/12/2022</t>
  </si>
  <si>
    <t>GESTAO PUBLICA  01/05/2021 29/02/2024</t>
  </si>
  <si>
    <t>TECNICO EM ADMINISTRACAO INTEGRADO 01/05/2021 29/02/2024</t>
  </si>
  <si>
    <t>TECNICO EM INFORMATICA INTEGRADO 01/05/2021 29/02/2024</t>
  </si>
  <si>
    <t>TECNICO EM CONTROLE AMBIENTAL INTEGRADO 01/05/2021 29/02/2024</t>
  </si>
  <si>
    <t>TECNICO EM AGROPECUARIA INTEGRADO 01/06/2021 27/02/2024</t>
  </si>
  <si>
    <t>ESPECIALIZACAO - SEGURANCA  01/10/2021 31/10/2022</t>
  </si>
  <si>
    <t>GESTAO PUBLICA  03/03/2022 28/02/2025</t>
  </si>
  <si>
    <t>TECNICO EM ADMINISTRACAO INTEGRADO 04/04/2022 31/01/2025</t>
  </si>
  <si>
    <t>TECNICO EM AGROPECUARIA INTEGRADO 04/04/2022 31/01/2025</t>
  </si>
  <si>
    <t>TECNICO EM INFORMATICA INTEGRADO 04/04/2022 31/01/2025</t>
  </si>
  <si>
    <t>AGENTE DE PROJETOS SOCIAIS  14/11/2022 07/04/2023</t>
  </si>
  <si>
    <t>GESTAO PUBLICA  06/02/2023 19/12/2025</t>
  </si>
  <si>
    <t>TECNICO EM ADMINISTRACAO INTEGRADO 20/03/2023 15/02/2026</t>
  </si>
  <si>
    <t>TECNICO EM AGROPECUARIA INTEGRADO 20/03/2023 15/02/2026</t>
  </si>
  <si>
    <t>TECNICO EM INFORMATICA INTEGRADO 20/03/2023 15/02/2026</t>
  </si>
  <si>
    <t>TECNICO EM INFRAESTRUTURA ESCOLAR SUBSEQUENTE 01/04/2023 04/10/2024</t>
  </si>
  <si>
    <t>TECNICO EM ALIMENTACAO ESCOLAR SUBSEQUENTE 01/04/2023 04/10/2024</t>
  </si>
  <si>
    <t>TECNICO EM SECRETARIA ESCOLAR SUBSEQUENTE 01/04/2023 04/10/2024</t>
  </si>
  <si>
    <t>TECNICO EM ZOOTECNIA</t>
  </si>
  <si>
    <t>TECNICO EM ZOOTECNIA SUBSEQUENTE 09/02/2009 17/12/2010</t>
  </si>
  <si>
    <t>ENGENHARIA FLORESTAL</t>
  </si>
  <si>
    <t>ENGENHARIA FLORESTAL  14/02/2012 14/12/2016</t>
  </si>
  <si>
    <t>ENGENHARIA FLORESTAL  27/05/2013 31/12/2017</t>
  </si>
  <si>
    <t>ENGENHARIA FLORESTAL  07/05/2014 31/12/2018</t>
  </si>
  <si>
    <t>ENGENHARIA FLORESTAL  27/04/2015 31/12/2019</t>
  </si>
  <si>
    <t>BUBALINOCULTOR DE LEITE</t>
  </si>
  <si>
    <t>BUBALINOCULTOR DE LEITE CONCOMITANTE 14/03/2016 05/08/2016</t>
  </si>
  <si>
    <t>ENGENHARIA FLORESTAL  13/06/2016 31/12/2020</t>
  </si>
  <si>
    <t>ENGENHARIA FLORESTAL  01/03/2017 01/06/2021</t>
  </si>
  <si>
    <t>TECNICO EM AGROPECUARIA INTEGRADO 29/01/2018 31/12/2020</t>
  </si>
  <si>
    <t>TECNICO EM INFORMATICA INTEGRADO 29/01/2018 31/12/2020</t>
  </si>
  <si>
    <t>ENGENHARIA FLORESTAL  01/02/2018 31/12/2022</t>
  </si>
  <si>
    <t>BIOCOMBUSTIVEIS</t>
  </si>
  <si>
    <t>BIOCOMBUSTIVEIS  04/02/2019 31/12/2021</t>
  </si>
  <si>
    <t>ENGENHARIA FLORESTAL  04/02/2019 31/12/2023</t>
  </si>
  <si>
    <t>TECNICO EM AGROPECUARIA INTEGRADO 04/02/2019 17/12/2021</t>
  </si>
  <si>
    <t>TECNICO EM AGROPECUARIA SUBSEQUENTE 22/08/2019 31/12/2020</t>
  </si>
  <si>
    <t>TECNICO EM AGROPECUARIA INTEGRADO 03/02/2020 18/02/2022</t>
  </si>
  <si>
    <t>TECNICO EM INFORMATICA INTEGRADO 03/02/2020 18/02/2022</t>
  </si>
  <si>
    <t>TECNICO EM AGROPECUARIA SUBSEQUENTE 03/02/2020 31/07/2021</t>
  </si>
  <si>
    <t>ENGENHARIA FLORESTAL  03/02/2020 31/12/2024</t>
  </si>
  <si>
    <t>TECNICO EM AGROPECUARIA INTEGRADO 15/03/2021 31/12/2023</t>
  </si>
  <si>
    <t>TECNICO EM INFORMATICA INTEGRADO 15/03/2021 31/12/2023</t>
  </si>
  <si>
    <t>TECNICO EM AGROPECUARIA SUBSEQUENTE 15/03/2021 15/07/2022</t>
  </si>
  <si>
    <t>ENGENHARIA FLORESTAL  15/03/2021 31/12/2025</t>
  </si>
  <si>
    <t>LICENCIATURA</t>
  </si>
  <si>
    <t>QUIMICA</t>
  </si>
  <si>
    <t>QUIMICA  01/10/2021 31/07/2025</t>
  </si>
  <si>
    <t>TECNICO EM AGROPECUARIA SUBSEQUENTE 02/10/2021 31/07/2022</t>
  </si>
  <si>
    <t>TECNICO EM AGROPECUARIA INTEGRADO 01/02/2022 31/12/2024</t>
  </si>
  <si>
    <t>TECNICO EM INFORMATICA INTEGRADO 01/02/2022 31/12/2024</t>
  </si>
  <si>
    <t>TECNICO EM AGROPECUARIA SUBSEQUENTE 01/02/2022 31/07/2023</t>
  </si>
  <si>
    <t>QUIMICA  01/02/2022 31/12/2025</t>
  </si>
  <si>
    <t>ENGENHARIA FLORESTAL  01/02/2022 31/12/2026</t>
  </si>
  <si>
    <t>TECNICO EM AGROPECUARIA SUBSEQUENTE 25/07/2022 20/12/2023</t>
  </si>
  <si>
    <t>AGENTE DE LIMPEZA E CONSERVACAO</t>
  </si>
  <si>
    <t>INFRAESTRUTURA</t>
  </si>
  <si>
    <t>AGENTE DE LIMPEZA E CONSERVACAO  05/08/2022 05/11/2022</t>
  </si>
  <si>
    <t>CERVEJEIRO</t>
  </si>
  <si>
    <t>CERVEJEIRO  05/08/2022 05/11/2022</t>
  </si>
  <si>
    <t>AUXILIAR DE COZINHA</t>
  </si>
  <si>
    <t>TURISMO, HOSPITALIDADE E LAZER</t>
  </si>
  <si>
    <t>AUXILIAR DE COZINHA  05/08/2022 05/11/2022</t>
  </si>
  <si>
    <t>AUXILIAR DE FISCALIZACAO AMBIENTAL</t>
  </si>
  <si>
    <t>AUXILIAR DE FISCALIZACAO AMBIENTAL CONCOMITANTE 01/09/2022 31/10/2022</t>
  </si>
  <si>
    <t>TECNICO EM AGROPECUARIA INTEGRADO 06/02/2023 20/12/2025</t>
  </si>
  <si>
    <t>TECNICO EM INFORMATICA INTEGRADO 06/02/2023 20/12/2025</t>
  </si>
  <si>
    <t>TECNICO EM AGROPECUARIA SUBSEQUENTE 06/02/2023 30/06/2024</t>
  </si>
  <si>
    <t>QUIMICA  06/02/2023 20/12/2026</t>
  </si>
  <si>
    <t>ENGENHARIA FLORESTAL  06/02/2023 20/12/2027</t>
  </si>
  <si>
    <t>TECNICO EM ALIMENTACAO ESCOLAR SUBSEQUENTE 03/04/2023 31/10/2024</t>
  </si>
  <si>
    <t>TECNICO EM INFRAESTRUTURA ESCOLAR SUBSEQUENTE 03/04/2023 31/10/2024</t>
  </si>
  <si>
    <t>TECNICO EM SECRETARIA ESCOLAR SUBSEQUENTE 03/04/2023 31/10/2024</t>
  </si>
  <si>
    <t>ESPECIALIZACAO - RECURSOS NATURAIS  13/06/2023 14/06/2024</t>
  </si>
  <si>
    <t>TECNICO EM AGROPECUARIA SUBSEQUENTE 24/07/2023 20/12/2024</t>
  </si>
  <si>
    <t>AGENTE DE DESENVOLVIMENTO SOCIOAMBIENTAL</t>
  </si>
  <si>
    <t>AGENTE DE DESENVOLVIMENTO SOCIOAMBIENTAL  02/10/2023 16/12/2023</t>
  </si>
  <si>
    <t>AUXILIAR DE FISCALIZACAO AMBIENTAL CONCOMITANTE 01/11/2023 20/04/2024</t>
  </si>
  <si>
    <t>MATEMATICA</t>
  </si>
  <si>
    <t>MATEMATICA  09/02/2010 09/12/2013</t>
  </si>
  <si>
    <t>AGRONOMIA</t>
  </si>
  <si>
    <t>AGRONOMIA  01/03/2011 23/12/2015</t>
  </si>
  <si>
    <t>MATEMATICA  01/03/2011 23/12/2014</t>
  </si>
  <si>
    <t>AGRONOMIA  26/03/2012 22/12/2016</t>
  </si>
  <si>
    <t>MATEMATICA  26/03/2012 18/12/2015</t>
  </si>
  <si>
    <t>AGROINDUSTRIA</t>
  </si>
  <si>
    <t>AGROINDUSTRIA  26/03/2012 19/12/2014</t>
  </si>
  <si>
    <t>AGRONOMIA  27/08/2012 27/07/2017</t>
  </si>
  <si>
    <t>AGRONOMIA  27/02/2013 22/12/2017</t>
  </si>
  <si>
    <t>AGROINDUSTRIA  27/02/2013 18/12/2015</t>
  </si>
  <si>
    <t>MATEMATICA  27/02/2013 23/12/2016</t>
  </si>
  <si>
    <t>TECNICO EM AGROPECUARIA SUBSEQUENTE 18/09/2013 09/12/2014</t>
  </si>
  <si>
    <t>AGRONOMIA  05/02/2014 20/12/2018</t>
  </si>
  <si>
    <t>AGROINDUSTRIA  05/02/2014 20/12/2016</t>
  </si>
  <si>
    <t>MATEMATICA  05/02/2014 22/12/2017</t>
  </si>
  <si>
    <t>PROCESSOS GERENCIAIS</t>
  </si>
  <si>
    <t>PROCESSOS GERENCIAIS  15/08/2014 30/12/2016</t>
  </si>
  <si>
    <t>AGRONOMIA  01/09/2014 01/09/2019</t>
  </si>
  <si>
    <t>AGRONOMIA  20/02/2015 20/12/2019</t>
  </si>
  <si>
    <t>MATEMATICA  20/02/2015 20/12/2018</t>
  </si>
  <si>
    <t>AGROINDUSTRIA  20/02/2015 21/12/2017</t>
  </si>
  <si>
    <t>AGRONOMIA  21/10/2015 30/07/2020</t>
  </si>
  <si>
    <t>PROCESSOS GERENCIAIS  21/10/2015 23/12/2017</t>
  </si>
  <si>
    <t>AGRONOMIA  11/04/2016 23/12/2020</t>
  </si>
  <si>
    <t>MATEMATICA  11/04/2016 23/12/2019</t>
  </si>
  <si>
    <t>AGROINDUSTRIA  11/04/2016 23/12/2018</t>
  </si>
  <si>
    <t>TECNICO EM MANUTENCAO E SUPORTE EM INFORMATICA INTEGRADO 11/04/2016 22/12/2018</t>
  </si>
  <si>
    <t>PROEJA - INTEGRADO</t>
  </si>
  <si>
    <t>TECNICO EM ADMINISTRACAO PROEJA - INTEGRADO 11/04/2016 22/12/2018</t>
  </si>
  <si>
    <t>AGRONOMIA  19/09/2016 30/07/2021</t>
  </si>
  <si>
    <t>TECNICO EM ADMINISTRACAO PROEJA - INTEGRADO 06/03/2017 23/12/2019</t>
  </si>
  <si>
    <t>AGROINDUSTRIA  20/03/2017 23/12/2019</t>
  </si>
  <si>
    <t>PROCESSOS GERENCIAIS  20/03/2017 30/07/2019</t>
  </si>
  <si>
    <t>MATEMATICA  20/03/2017 22/12/2020</t>
  </si>
  <si>
    <t>AGRONOMIA  20/03/2017 22/12/2021</t>
  </si>
  <si>
    <t>AGRONOMIA  04/09/2017 30/07/2022</t>
  </si>
  <si>
    <t>AGRONOMIA  19/03/2018 22/12/2022</t>
  </si>
  <si>
    <t>AGROINDUSTRIA  19/03/2018 22/12/2020</t>
  </si>
  <si>
    <t>PROCESSOS GERENCIAIS  19/03/2018 30/07/2020</t>
  </si>
  <si>
    <t>TECNICO EM MANUTENCAO E SUPORTE EM INFORMATICA INTEGRADO 19/03/2018 22/12/2020</t>
  </si>
  <si>
    <t>TECNICO EM AGROPECUARIA INTEGRADO 19/03/2018 22/12/2020</t>
  </si>
  <si>
    <t>MATEMATICA  19/03/2018 30/07/2022</t>
  </si>
  <si>
    <t>AGRONOMIA  13/08/2018 30/07/2023</t>
  </si>
  <si>
    <t>AGRONOMIA  18/02/2019 21/12/2023</t>
  </si>
  <si>
    <t>PROCESSOS GERENCIAIS  18/02/2019 30/07/2021</t>
  </si>
  <si>
    <t>AGROINDUSTRIA  18/02/2019 21/12/2021</t>
  </si>
  <si>
    <t>MATEMATICA  18/02/2019 21/12/2023</t>
  </si>
  <si>
    <t>TECNICO EM MANUTENCAO E SUPORTE EM INFORMATICA INTEGRADO 18/02/2019 21/12/2021</t>
  </si>
  <si>
    <t>TECNICO EM AGROPECUARIA INTEGRADO 18/02/2019 21/12/2021</t>
  </si>
  <si>
    <t>AGRONOMIA  28/07/2019 30/07/2023</t>
  </si>
  <si>
    <t>MATEMATICA  02/02/2020 02/02/2024</t>
  </si>
  <si>
    <t>AGRONOMIA  03/02/2020 18/12/2024</t>
  </si>
  <si>
    <t>PROCESSOS GERENCIAIS  03/02/2020 31/07/2022</t>
  </si>
  <si>
    <t>AGROINDUSTRIA  03/02/2020 18/12/2022</t>
  </si>
  <si>
    <t>TECNICO EM MANUTENCAO E SUPORTE EM INFORMATICA INTEGRADO 03/02/2020 18/12/2022</t>
  </si>
  <si>
    <t>AGRONOMIA  12/04/2021 18/12/2025</t>
  </si>
  <si>
    <t>TECNICO EM MANUTENCAO E SUPORTE EM INFORMATICA INTEGRADO 12/04/2021 18/12/2023</t>
  </si>
  <si>
    <t>MATEMATICA  12/04/2021 21/06/2025</t>
  </si>
  <si>
    <t>AGROINDUSTRIA  12/04/2021 18/12/2023</t>
  </si>
  <si>
    <t>PROCESSOS GERENCIAIS  12/04/2021 21/06/2023</t>
  </si>
  <si>
    <t>TECNICO EM AGROPECUARIA INTEGRADO 12/04/2021 18/12/2023</t>
  </si>
  <si>
    <t>TECNICO EM AGROPECUARIA SUBSEQUENTE 14/04/2021 30/09/2022</t>
  </si>
  <si>
    <t>AGRONOMIA  01/09/2021 30/09/2026</t>
  </si>
  <si>
    <t>QUALIFICACAO PROFISSIONAL - DESENVOLVIMENTO EDUCACIONAL E SOCIAL</t>
  </si>
  <si>
    <t>QUALIFICACAO PROFISSIONAL - DESENVOLVIMENTO EDUCACIONAL E SOCIAL  21/02/2022 21/12/2022</t>
  </si>
  <si>
    <t>TECNICO EM AGROPECUARIA INTEGRADO 07/03/2022 20/12/2024</t>
  </si>
  <si>
    <t>TECNICO EM MANUTENCAO E SUPORTE EM INFORMATICA INTEGRADO 07/03/2022 20/12/2024</t>
  </si>
  <si>
    <t>AGROINDUSTRIA  07/03/2022 20/12/2024</t>
  </si>
  <si>
    <t>PROCESSOS GERENCIAIS  07/03/2022 19/07/2024</t>
  </si>
  <si>
    <t>AGRONOMIA  07/03/2022 18/12/2026</t>
  </si>
  <si>
    <t>QUALIFICACAO PROFISSIONAL - GESTAO E NEGOCIOS CONCOMITANTE 30/06/2022 30/11/2022</t>
  </si>
  <si>
    <t>AGENTE DE GESTAO DE RESIDUOS SOLIDOS</t>
  </si>
  <si>
    <t>AGENTE DE GESTAO DE RESIDUOS SOLIDOS CONCOMITANTE 30/06/2022 30/01/2023</t>
  </si>
  <si>
    <t>TECNICO EM AGROPECUARIA SUBSEQUENTE 18/07/2022 15/12/2023</t>
  </si>
  <si>
    <t>AGRONOMIA  10/08/2022 30/08/2027</t>
  </si>
  <si>
    <t>AUXILIAR DE AGROPECUARIA</t>
  </si>
  <si>
    <t>AUXILIAR DE AGROPECUARIA CONCOMITANTE 05/09/2022 20/12/2022</t>
  </si>
  <si>
    <t>TECNICO EM MANUTENCAO E SUPORTE EM INFORMATICA INTEGRADO 06/02/2023 30/12/2025</t>
  </si>
  <si>
    <t>TECNICO EM AGROPECUARIA INTEGRADO 06/02/2023 30/12/2025</t>
  </si>
  <si>
    <t>AGROINDUSTRIA  06/02/2023 30/12/2025</t>
  </si>
  <si>
    <t>PROCESSOS GERENCIAIS  06/02/2023 30/06/2025</t>
  </si>
  <si>
    <t>AGRONOMIA  06/02/2023 30/12/2027</t>
  </si>
  <si>
    <t>MATEMATICA  06/02/2023 30/06/2027</t>
  </si>
  <si>
    <t>TECNICO EM AGROPECUARIA SUBSEQUENTE 10/02/2023 30/06/2024</t>
  </si>
  <si>
    <t>TECNICO EM ALIMENTACAO ESCOLAR SUBSEQUENTE 03/03/2023 31/10/2024</t>
  </si>
  <si>
    <t>TECNICO EM INFRAESTRUTURA ESCOLAR SUBSEQUENTE 03/03/2023 31/10/2024</t>
  </si>
  <si>
    <t>TECNICO EM SECRETARIA ESCOLAR SUBSEQUENTE 03/03/2023 31/10/2024</t>
  </si>
  <si>
    <t>AGRONOMIA  26/07/2023 23/07/2028</t>
  </si>
  <si>
    <t>AGRONOMIA  26/04/2010 22/12/2014</t>
  </si>
  <si>
    <t>AGRONOMIA  01/03/2011 22/12/2015</t>
  </si>
  <si>
    <t>AGRONOMIA  20/03/2012 23/12/2016</t>
  </si>
  <si>
    <t>AGRONOMIA  06/05/2013 22/12/2017</t>
  </si>
  <si>
    <t>QUIMICA  06/05/2013 23/12/2016</t>
  </si>
  <si>
    <t>TECNICO EM AGROPECUARIA INTEGRADO 31/03/2014 23/12/2016</t>
  </si>
  <si>
    <t>AGRONOMIA  31/03/2014 21/12/2018</t>
  </si>
  <si>
    <t>AGRONOMIA  02/03/2015 20/12/2019</t>
  </si>
  <si>
    <t>FISICA</t>
  </si>
  <si>
    <t>FISICA  02/03/2015 21/12/2018</t>
  </si>
  <si>
    <t>TECNICO EM AGROINDUSTRIA</t>
  </si>
  <si>
    <t>TECNICO EM AGROINDUSTRIA INTEGRADO 18/04/2016 21/12/2018</t>
  </si>
  <si>
    <t>AGRONOMIA  18/04/2016 23/12/2020</t>
  </si>
  <si>
    <t>CIENCIAS BIOLOGICAS</t>
  </si>
  <si>
    <t>CIENCIAS BIOLOGICAS  18/04/2016 23/12/2019</t>
  </si>
  <si>
    <t>FISICA  18/04/2016 23/12/2019</t>
  </si>
  <si>
    <t>TECNICO EM AGROPECUARIA INTEGRADO 20/02/2017 20/12/2019</t>
  </si>
  <si>
    <t>AGRONOMIA  15/05/2017 20/12/2021</t>
  </si>
  <si>
    <t>CIENCIAS BIOLOGICAS  15/05/2017 21/12/2020</t>
  </si>
  <si>
    <t>QUIMICA  15/05/2017 21/12/2020</t>
  </si>
  <si>
    <t>FISICA  15/05/2017 21/12/2020</t>
  </si>
  <si>
    <t>TECNICO EM COMERCIO INTEGRADO 15/05/2017 23/12/2019</t>
  </si>
  <si>
    <t>TECNICO EM AGROPECUARIA INTEGRADO 19/02/2018 31/12/2020</t>
  </si>
  <si>
    <t>TECNICO EM AGROINDUSTRIA INTEGRADO 19/02/2018 31/12/2020</t>
  </si>
  <si>
    <t>FISICA  19/02/2018 31/12/2021</t>
  </si>
  <si>
    <t>QUIMICA  19/02/2018 31/12/2021</t>
  </si>
  <si>
    <t>TECNICO EM CONTROLE AMBIENTAL SUBSEQUENTE 19/02/2018 02/04/2020</t>
  </si>
  <si>
    <t>CIENCIAS BIOLOGICAS  02/04/2018 31/12/2021</t>
  </si>
  <si>
    <t>AGRONOMIA  02/04/2018 31/12/2022</t>
  </si>
  <si>
    <t>TECNICO EM AGROPECUARIA INTEGRADO 04/02/2019 31/12/2021</t>
  </si>
  <si>
    <t>TECNICO EM AGROINDUSTRIA INTEGRADO 04/02/2019 31/12/2021</t>
  </si>
  <si>
    <t>AGRONOMIA  11/03/2019 31/12/2023</t>
  </si>
  <si>
    <t>CIENCIAS BIOLOGICAS  11/03/2019 31/12/2022</t>
  </si>
  <si>
    <t>QUIMICA  11/03/2019 31/12/2022</t>
  </si>
  <si>
    <t>FISICA  11/03/2019 31/12/2021</t>
  </si>
  <si>
    <t>TECNICO EM COMERCIO PROEJA - INTEGRADO 11/03/2019 31/12/2021</t>
  </si>
  <si>
    <t>TECNICO EM AGROPECUARIA INTEGRADO 03/02/2020 31/12/2022</t>
  </si>
  <si>
    <t>TECNICO EM AGROINDUSTRIA INTEGRADO 03/02/2020 31/12/2022</t>
  </si>
  <si>
    <t>QUIMICA  03/02/2020 31/12/2023</t>
  </si>
  <si>
    <t>FISICA  03/02/2020 31/12/2023</t>
  </si>
  <si>
    <t>CIENCIAS BIOLOGICAS  03/02/2020 31/12/2023</t>
  </si>
  <si>
    <t>AGRONOMIA  03/02/2020 31/12/2024</t>
  </si>
  <si>
    <t>QUIMICA  01/04/2021 31/12/2024</t>
  </si>
  <si>
    <t>CIENCIAS BIOLOGICAS  01/04/2021 31/12/2024</t>
  </si>
  <si>
    <t>FISICA  01/04/2021 31/12/2024</t>
  </si>
  <si>
    <t>AGRONOMIA  01/04/2021 31/12/2025</t>
  </si>
  <si>
    <t>TECNICO EM AGROPECUARIA INTEGRADO 01/04/2021 31/12/2023</t>
  </si>
  <si>
    <t>TECNICO EM AGROINDUSTRIA INTEGRADO 01/04/2021 31/12/2023</t>
  </si>
  <si>
    <t>CIENCIAS DA NATUREZA</t>
  </si>
  <si>
    <t>CIENCIAS DA NATUREZA  02/08/2021 02/01/2023</t>
  </si>
  <si>
    <t>ESPECIALIZACAO - DESENVOLVIMENTO EDUCACIONAL E SOCIAL</t>
  </si>
  <si>
    <t>ESPECIALIZACAO - DESENVOLVIMENTO EDUCACIONAL E SOCIAL  02/08/2021 02/02/2023</t>
  </si>
  <si>
    <t>TECNICO EM AGROPECUARIA INTEGRADO 14/02/2022 31/12/2024</t>
  </si>
  <si>
    <t>TECNICO EM AGROINDUSTRIA INTEGRADO 14/02/2022 31/12/2024</t>
  </si>
  <si>
    <t>AGRONOMIA  14/02/2022 31/12/2026</t>
  </si>
  <si>
    <t>CIENCIAS BIOLOGICAS  14/02/2022 31/12/2025</t>
  </si>
  <si>
    <t>QUIMICA  14/02/2022 31/12/2025</t>
  </si>
  <si>
    <t>FISICA  14/02/2022 31/12/2025</t>
  </si>
  <si>
    <t>TECNICO EM ZOOTECNIA SUBSEQUENTE 14/02/2022 30/09/2023</t>
  </si>
  <si>
    <t>ESPECIALIZACAO - RECURSOS NATURAIS  02/08/2022 02/02/2024</t>
  </si>
  <si>
    <t>TECNICO EM AGROPECUARIA INTEGRADO 06/02/2023 31/12/2025</t>
  </si>
  <si>
    <t>TECNICO EM AGROINDUSTRIA INTEGRADO 06/02/2023 31/12/2025</t>
  </si>
  <si>
    <t>TECNICO EM ZOOTECNIA SUBSEQUENTE 06/02/2023 31/07/2024</t>
  </si>
  <si>
    <t>CIENCIAS BIOLOGICAS  06/02/2023 31/12/2026</t>
  </si>
  <si>
    <t>QUIMICA  06/02/2023 31/12/2026</t>
  </si>
  <si>
    <t>FISICA  06/02/2023 31/12/2026</t>
  </si>
  <si>
    <t>AGRONOMIA  06/02/2023 31/12/2026</t>
  </si>
  <si>
    <t>ESPECIALIZACAO - RECURSOS NATURAIS  06/02/2023 31/07/2024</t>
  </si>
  <si>
    <t>MATEMATICA  06/02/2023 31/12/2026</t>
  </si>
  <si>
    <t>TECNICO EM ADMINISTRACAO PROEJA - INTEGRADO 06/02/2023 31/07/2025</t>
  </si>
  <si>
    <t>TECNICO EM INFRAESTRUTURA ESCOLAR SUBSEQUENTE 03/04/2023 03/09/2024</t>
  </si>
  <si>
    <t>TECNICO EM ALIMENTACAO ESCOLAR SUBSEQUENTE 03/04/2023 03/09/2024</t>
  </si>
  <si>
    <t>TECNICO EM SECRETARIA ESCOLAR SUBSEQUENTE 03/04/2023 03/09/2024</t>
  </si>
  <si>
    <t>TECNICO EM AGRICULTURA</t>
  </si>
  <si>
    <t>TECNICO EM AGRICULTURA CONCOMITANTE 02/08/2023 31/12/2025</t>
  </si>
  <si>
    <t>REDES DE COMPUTADORES</t>
  </si>
  <si>
    <t>REDES DE COMPUTADORES  14/07/2008 17/06/2011</t>
  </si>
  <si>
    <t>AUTOMACAO INDUSTRIAL</t>
  </si>
  <si>
    <t>AUTOMACAO INDUSTRIAL  07/02/2011 11/07/2014</t>
  </si>
  <si>
    <t>REDES DE COMPUTADORES  07/02/2011 23/12/2013</t>
  </si>
  <si>
    <t>SECRETARIADO EXECUTIVO</t>
  </si>
  <si>
    <t>SECRETARIADO EXECUTIVO  26/07/2011 20/06/2014</t>
  </si>
  <si>
    <t>CONSTRUCAO DE EDIFICIOS</t>
  </si>
  <si>
    <t>CONSTRUCAO DE EDIFICIOS  09/04/2012 23/12/2014</t>
  </si>
  <si>
    <t>REDES DE COMPUTADORES  09/04/2012 23/12/2014</t>
  </si>
  <si>
    <t>SISTEMAS PARA INTERNET</t>
  </si>
  <si>
    <t>SISTEMAS PARA INTERNET  09/04/2012 23/12/2014</t>
  </si>
  <si>
    <t>TECNICO EM GUIA DE TURISMO</t>
  </si>
  <si>
    <t>TECNICO EM GUIA DE TURISMO SUBSEQUENTE 10/09/2012 23/12/2013</t>
  </si>
  <si>
    <t>AUTOMACAO INDUSTRIAL  10/09/2012 23/12/2015</t>
  </si>
  <si>
    <t>REDES DE COMPUTADORES  10/09/2012 07/08/2015</t>
  </si>
  <si>
    <t>UAB (UNIVERSIDADE ABERTA DO BRASIL)</t>
  </si>
  <si>
    <t>SISTEMAS PARA INTERNET  15/10/2012 14/08/2015</t>
  </si>
  <si>
    <t>TECNICO EM SECRETARIADO SUBSEQUENTE 23/05/2013 31/07/2014</t>
  </si>
  <si>
    <t>ENGENHARIA DE COMPUTACAO</t>
  </si>
  <si>
    <t>ENGENHARIA DE COMPUTACAO  23/05/2013 22/12/2017</t>
  </si>
  <si>
    <t>SISTEMAS PARA INTERNET  23/05/2013 23/12/2015</t>
  </si>
  <si>
    <t>SECRETARIADO EXECUTIVO  01/10/2013 21/12/2017</t>
  </si>
  <si>
    <t>ENGENHARIA DE COMPUTACAO  01/10/2013 30/07/2018</t>
  </si>
  <si>
    <t>ENGENHARIA DE CONTROLE E AUTOMACAO</t>
  </si>
  <si>
    <t>ENGENHARIA DE CONTROLE E AUTOMACAO  01/10/2013 30/07/2018</t>
  </si>
  <si>
    <t>AUTOMACAO INDUSTRIAL  01/10/2013 23/12/2016</t>
  </si>
  <si>
    <t>REDES DE COMPUTADORES  01/10/2013 29/07/2016</t>
  </si>
  <si>
    <t>SISTEMAS PARA INTERNET  01/12/2013 23/12/2016</t>
  </si>
  <si>
    <t>ENGENHARIA DE COMPUTACAO  03/04/2014 22/12/2018</t>
  </si>
  <si>
    <t>ENGENHARIA DE CONTROLE E AUTOMACAO  03/04/2014 22/12/2018</t>
  </si>
  <si>
    <t>AUTOMACAO INDUSTRIAL  03/04/2014 14/07/2017</t>
  </si>
  <si>
    <t>REDES DE COMPUTADORES  03/04/2014 23/12/2016</t>
  </si>
  <si>
    <t>SISTEMAS PARA INTERNET  03/04/2014 23/12/2016</t>
  </si>
  <si>
    <t>SISTEMAS PARA INTERNET  23/06/2014 09/06/2017</t>
  </si>
  <si>
    <t>ENGENHARIA DE CONTROLE E AUTOMACAO  01/09/2014 16/08/2019</t>
  </si>
  <si>
    <t>AUTOMACAO INDUSTRIAL  01/09/2014 22/12/2017</t>
  </si>
  <si>
    <t>CONTROLE DE OBRAS</t>
  </si>
  <si>
    <t>CONTROLE DE OBRAS  01/09/2014 22/12/2017</t>
  </si>
  <si>
    <t>TECNICO EM TELECOMUNICACOES</t>
  </si>
  <si>
    <t>TECNICO EM TELECOMUNICACOES INTEGRADO 12/03/2015 21/12/2018</t>
  </si>
  <si>
    <t>ENGENHARIA DE CONTROLE E AUTOMACAO  12/03/2015 23/12/2019</t>
  </si>
  <si>
    <t>ENGENHARIA DE COMPUTACAO  12/03/2015 23/12/2019</t>
  </si>
  <si>
    <t>AUTOMACAO INDUSTRIAL  12/03/2015 17/08/2018</t>
  </si>
  <si>
    <t>GEOPROCESSAMENTO</t>
  </si>
  <si>
    <t>GEOPROCESSAMENTO  12/03/2015 22/12/2017</t>
  </si>
  <si>
    <t>REDES DE COMPUTADORES  12/03/2015 22/12/2017</t>
  </si>
  <si>
    <t>SISTEMAS PARA INTERNET  12/03/2015 22/12/2017</t>
  </si>
  <si>
    <t>TURISMO</t>
  </si>
  <si>
    <t>TURISMO  10/08/2015 14/06/2019</t>
  </si>
  <si>
    <t>SISTEMAS PARA INTERNET  04/11/2015 20/07/2018</t>
  </si>
  <si>
    <t>TECNICO EM EDIFICACOES</t>
  </si>
  <si>
    <t>TECNICO EM EDIFICACOES SUBSEQUENTE 26/11/2015 27/10/2017</t>
  </si>
  <si>
    <t>AUTOMACAO INDUSTRIAL  26/11/2015 23/12/2018</t>
  </si>
  <si>
    <t>SECRETARIADO EXECUTIVO  26/11/2015 17/08/2018</t>
  </si>
  <si>
    <t>ENGENHARIA DE CONTROLE E AUTOMACAO  26/11/2015 14/08/2020</t>
  </si>
  <si>
    <t>TECNICO EM AGRIMENSURA</t>
  </si>
  <si>
    <t>TECNICO EM AGRIMENSURA INTEGRADO 12/05/2016 23/12/2019</t>
  </si>
  <si>
    <t>TECNICO EM EDIFICACOES INTEGRADO 12/05/2016 23/12/2019</t>
  </si>
  <si>
    <t>TECNICO EM EVENTOS</t>
  </si>
  <si>
    <t>TECNICO EM EVENTOS INTEGRADO 12/05/2016 22/12/2018</t>
  </si>
  <si>
    <t>TECNICO EM INFORMATICA INTEGRADO 12/05/2016 22/12/2018</t>
  </si>
  <si>
    <t>ENGENHARIA DE CONTROLE E AUTOMACAO  12/05/2016 23/12/2020</t>
  </si>
  <si>
    <t>ENGENHARIA DE COMPUTACAO  12/05/2016 23/12/2020</t>
  </si>
  <si>
    <t>SECRETARIADO EXECUTIVO  12/05/2016 22/12/2018</t>
  </si>
  <si>
    <t>TURISMO  12/05/2016 22/12/2018</t>
  </si>
  <si>
    <t>AUTOMACAO INDUSTRIAL  12/05/2016 19/07/2019</t>
  </si>
  <si>
    <t>CONSTRUCAO DE EDIFICIOS  12/05/2016 22/12/2018</t>
  </si>
  <si>
    <t>CONTROLE DE OBRAS  12/05/2016 19/07/2019</t>
  </si>
  <si>
    <t>GEOPROCESSAMENTO  12/05/2016 22/12/2018</t>
  </si>
  <si>
    <t>REDES DE COMPUTADORES  12/05/2016 22/12/2018</t>
  </si>
  <si>
    <t>SISTEMAS PARA INTERNET  12/05/2016 22/12/2018</t>
  </si>
  <si>
    <t>TECNICO EM ELETRONICA</t>
  </si>
  <si>
    <t>TECNICO EM ELETRONICA SUBSEQUENTE 12/05/2016 23/12/2017</t>
  </si>
  <si>
    <t>TECNICO EM ELETROTECNICA</t>
  </si>
  <si>
    <t>TECNICO EM ELETROTECNICA SUBSEQUENTE 12/05/2016 23/12/2017</t>
  </si>
  <si>
    <t>ENGENHARIA DE CONTROLE E AUTOMACAO  03/10/2016 13/08/2021</t>
  </si>
  <si>
    <t>SECRETARIADO EXECUTIVO  03/10/2016 16/08/2019</t>
  </si>
  <si>
    <t>TURISMO  03/10/2016 16/08/2019</t>
  </si>
  <si>
    <t>AUTOMACAO INDUSTRIAL  03/10/2016 23/12/2019</t>
  </si>
  <si>
    <t>CONSTRUCAO DE EDIFICIOS  03/10/2016 16/08/2019</t>
  </si>
  <si>
    <t>CONTROLE DE OBRAS  03/10/2016 23/12/2019</t>
  </si>
  <si>
    <t>TECNICO EM ELETRONICA SUBSEQUENTE 03/10/2016 17/08/2018</t>
  </si>
  <si>
    <t>TECNICO EM ELETROTECNICA SUBSEQUENTE 03/10/2016 17/08/2018</t>
  </si>
  <si>
    <t>TECNICO EM AGRIMENSURA INTEGRADO 17/04/2017 15/01/2021</t>
  </si>
  <si>
    <t>TECNICO EM EDIFICACOES INTEGRADO 17/04/2017 15/01/2021</t>
  </si>
  <si>
    <t>TECNICO EM ELETROELETRONICA</t>
  </si>
  <si>
    <t>TECNICO EM ELETROELETRONICA INTEGRADO 17/04/2017 17/01/2020</t>
  </si>
  <si>
    <t>TECNICO EM SECRETARIADO INTEGRADO 17/04/2017 17/01/2020</t>
  </si>
  <si>
    <t>TECNICO EM INFORMATICA INTEGRADO 17/04/2017 17/01/2020</t>
  </si>
  <si>
    <t>TECNICO EM EDIFICACOES SUBSEQUENTE 17/04/2017 15/02/2019</t>
  </si>
  <si>
    <t>TECNICO EM ELETRONICA SUBSEQUENTE 17/04/2017 15/02/2019</t>
  </si>
  <si>
    <t>TECNICO EM ELETROTECNICA SUBSEQUENTE 17/04/2017 15/02/2019</t>
  </si>
  <si>
    <t>SISTEMAS PARA INTERNET  17/04/2017 17/01/2020</t>
  </si>
  <si>
    <t>ENGENHARIA DE COMPUTACAO  17/04/2017 23/12/2021</t>
  </si>
  <si>
    <t>ENGENHARIA DE CONTROLE E AUTOMACAO  17/04/2017 23/12/2021</t>
  </si>
  <si>
    <t>SECRETARIADO EXECUTIVO  17/04/2017 19/02/2021</t>
  </si>
  <si>
    <t>TURISMO  17/04/2017 17/01/2020</t>
  </si>
  <si>
    <t>AUTOMACAO INDUSTRIAL  17/04/2017 14/08/2020</t>
  </si>
  <si>
    <t>CONTROLE DE OBRAS  17/04/2017 14/08/2020</t>
  </si>
  <si>
    <t>GEOPROCESSAMENTO  17/04/2017 17/01/2020</t>
  </si>
  <si>
    <t>REDES DE COMPUTADORES  17/04/2017 17/01/2020</t>
  </si>
  <si>
    <t>ESPECIALIZACAO - INFORMACAO E COMUNICACAO</t>
  </si>
  <si>
    <t>ESPECIALIZACAO - INFORMACAO E COMUNICACAO  24/04/2017 25/08/2018</t>
  </si>
  <si>
    <t>ESPECIALIZACAO - PRODUCAO CULTURAL E DESIGN</t>
  </si>
  <si>
    <t>PRODUCAO CULTURAL E DESIGN</t>
  </si>
  <si>
    <t>ESPECIALIZACAO - PRODUCAO CULTURAL E DESIGN  24/04/2017 25/08/2018</t>
  </si>
  <si>
    <t>AUTOMACAO INDUSTRIAL  11/10/2017 23/12/2020</t>
  </si>
  <si>
    <t>CONSTRUCAO DE EDIFICIOS  11/10/2017 15/08/2020</t>
  </si>
  <si>
    <t>CONTROLE DE OBRAS  11/10/2017 23/12/2020</t>
  </si>
  <si>
    <t>ENGENHARIA DE CONTROLE E AUTOMACAO  11/10/2017 13/02/2022</t>
  </si>
  <si>
    <t>SECRETARIADO EXECUTIVO  11/10/2017 15/08/2020</t>
  </si>
  <si>
    <t>TURISMO  11/10/2017 15/08/2020</t>
  </si>
  <si>
    <t>TECNICO EM EDIFICACOES SUBSEQUENTE 11/10/2017 17/08/2019</t>
  </si>
  <si>
    <t>TECNICO EM ELETRONICA SUBSEQUENTE 11/10/2017 17/08/2019</t>
  </si>
  <si>
    <t>TECNICO EM ELETROTECNICA SUBSEQUENTE 11/10/2017 17/08/2019</t>
  </si>
  <si>
    <t>MESTRADO</t>
  </si>
  <si>
    <t>MESTRADO - DESENVOLVIMENTO EDUCACIONAL E SOCIAL</t>
  </si>
  <si>
    <t>MESTRADO - DESENVOLVIMENTO EDUCACIONAL E SOCIAL  15/03/2018 10/03/2020</t>
  </si>
  <si>
    <t>TECNICO EM AGRIMENSURA INTEGRADO 19/03/2018 23/12/2021</t>
  </si>
  <si>
    <t>TECNICO EM EDIFICACOES INTEGRADO 19/03/2018 23/12/2021</t>
  </si>
  <si>
    <t>TECNICO EM EVENTOS INTEGRADO 19/03/2018 23/12/2020</t>
  </si>
  <si>
    <t>TECNICO EM INFORMATICA INTEGRADO 19/03/2018 23/12/2020</t>
  </si>
  <si>
    <t>TECNICO EM AGRIMENSURA SUBSEQUENTE 19/03/2018 23/12/2019</t>
  </si>
  <si>
    <t>TECNICO EM ELETRONICA SUBSEQUENTE 19/03/2018 23/12/2019</t>
  </si>
  <si>
    <t>ENGENHARIA DE CONTROLE E AUTOMACAO  19/03/2018 23/12/2022</t>
  </si>
  <si>
    <t>ENGENHARIA DE COMPUTACAO  19/03/2018 23/12/2022</t>
  </si>
  <si>
    <t>SECRETARIADO EXECUTIVO  19/03/2018 23/12/2020</t>
  </si>
  <si>
    <t>TURISMO  19/03/2018 23/12/2020</t>
  </si>
  <si>
    <t>AUTOMACAO INDUSTRIAL  19/03/2018 16/08/2021</t>
  </si>
  <si>
    <t>CONTROLE DE OBRAS  19/03/2018 16/08/2021</t>
  </si>
  <si>
    <t>GEOPROCESSAMENTO  19/03/2018 23/12/2020</t>
  </si>
  <si>
    <t>REDES DE COMPUTADORES  19/03/2018 23/12/2020</t>
  </si>
  <si>
    <t>SISTEMAS PARA INTERNET  19/03/2018 23/12/2020</t>
  </si>
  <si>
    <t>TECNICO EM AGRIMENSURA SUBSEQUENTE 13/08/2018 10/07/2020</t>
  </si>
  <si>
    <t>TECNICO EM EDIFICACOES SUBSEQUENTE 13/08/2018 10/07/2020</t>
  </si>
  <si>
    <t>TECNICO EM ELETRONICA SUBSEQUENTE 13/08/2018 10/07/2020</t>
  </si>
  <si>
    <t>TECNICO EM ELETROTECNICA SUBSEQUENTE 13/08/2018 10/07/2020</t>
  </si>
  <si>
    <t>ENGENHARIA DE COMPUTACAO  13/08/2018 14/07/2023</t>
  </si>
  <si>
    <t>ENGENHARIA DE CONTROLE E AUTOMACAO  13/08/2018 14/07/2023</t>
  </si>
  <si>
    <t>SECRETARIADO EXECUTIVO  13/08/2018 16/07/2021</t>
  </si>
  <si>
    <t>TURISMO  13/08/2018 16/07/2021</t>
  </si>
  <si>
    <t>AUTOMACAO INDUSTRIAL  13/08/2018 23/12/2021</t>
  </si>
  <si>
    <t>CONSTRUCAO DE EDIFICIOS  13/08/2018 23/12/2021</t>
  </si>
  <si>
    <t>CONTROLE DE OBRAS  13/08/2018 23/12/2021</t>
  </si>
  <si>
    <t>PEDAGOGIA</t>
  </si>
  <si>
    <t>PEDAGOGIA  20/10/2018 17/09/2022</t>
  </si>
  <si>
    <t>TECNICO EM AGRIMENSURA INTEGRADO 04/02/2019 23/12/2022</t>
  </si>
  <si>
    <t>TECNICO EM EDIFICACOES INTEGRADO 04/02/2019 23/12/2022</t>
  </si>
  <si>
    <t>TECNICO EM ELETROELETRONICA INTEGRADO 04/02/2019 23/12/2021</t>
  </si>
  <si>
    <t>TECNICO EM EVENTOS INTEGRADO 04/02/2019 23/12/2021</t>
  </si>
  <si>
    <t>TECNICO EM INFORMATICA INTEGRADO 04/02/2019 23/12/2021</t>
  </si>
  <si>
    <t>TECNICO EM SECRETARIADO INTEGRADO 04/02/2019 23/12/2021</t>
  </si>
  <si>
    <t>TECNICO EM AGRIMENSURA SUBSEQUENTE 04/02/2019 23/12/2020</t>
  </si>
  <si>
    <t>TECNICO EM EDIFICACOES SUBSEQUENTE 04/02/2019 23/12/2020</t>
  </si>
  <si>
    <t>TECNICO EM ELETRONICA SUBSEQUENTE 04/02/2019 23/12/2020</t>
  </si>
  <si>
    <t>TECNICO EM ELETROTECNICA SUBSEQUENTE 04/02/2019 23/12/2020</t>
  </si>
  <si>
    <t>ENGENHARIA DE COMPUTACAO  04/02/2019 23/12/2023</t>
  </si>
  <si>
    <t>ENGENHARIA DE CONTROLE E AUTOMACAO  04/02/2019 23/12/2023</t>
  </si>
  <si>
    <t>SECRETARIADO EXECUTIVO  04/02/2019 23/12/2021</t>
  </si>
  <si>
    <t>TURISMO  04/02/2019 23/12/2021</t>
  </si>
  <si>
    <t>AUTOMACAO INDUSTRIAL  04/02/2019 30/07/2022</t>
  </si>
  <si>
    <t>CONSTRUCAO DE EDIFICIOS  04/02/2019 30/07/2022</t>
  </si>
  <si>
    <t>CONTROLE DE OBRAS  04/02/2019 30/07/2022</t>
  </si>
  <si>
    <t>GEOPROCESSAMENTO  04/02/2019 23/12/2021</t>
  </si>
  <si>
    <t>REDES DE COMPUTADORES  04/02/2019 23/12/2021</t>
  </si>
  <si>
    <t>SISTEMAS PARA INTERNET  04/02/2019 23/12/2021</t>
  </si>
  <si>
    <t>EDUCACAO FISICA</t>
  </si>
  <si>
    <t>EDUCACAO FISICA  04/02/2019 23/12/2022</t>
  </si>
  <si>
    <t>MESTRADO - DESENVOLVIMENTO EDUCACIONAL E SOCIAL  22/03/2019 20/03/2021</t>
  </si>
  <si>
    <t>TECNICO EM AGRIMENSURA SUBSEQUENTE 15/07/2019 30/06/2021</t>
  </si>
  <si>
    <t>TECNICO EM EDIFICACOES SUBSEQUENTE 15/07/2019 30/06/2021</t>
  </si>
  <si>
    <t>TECNICO EM ELETROTECNICA SUBSEQUENTE 15/07/2019 30/06/2021</t>
  </si>
  <si>
    <t>TECNICO EM ELETRONICA SUBSEQUENTE 15/07/2019 30/06/2021</t>
  </si>
  <si>
    <t>ENGENHARIA DE COMPUTACAO  15/07/2019 28/06/2024</t>
  </si>
  <si>
    <t>ENGENHARIA DE CONTROLE E AUTOMACAO  15/07/2019 28/06/2024</t>
  </si>
  <si>
    <t>SECRETARIADO EXECUTIVO  15/07/2019 30/06/2022</t>
  </si>
  <si>
    <t>TURISMO  15/07/2019 30/06/2022</t>
  </si>
  <si>
    <t>CONSTRUCAO DE EDIFICIOS  15/07/2019 23/12/2022</t>
  </si>
  <si>
    <t>CONTROLE DE OBRAS  15/07/2019 23/12/2022</t>
  </si>
  <si>
    <t>GEOPROCESSAMENTO  15/07/2019 30/06/2022</t>
  </si>
  <si>
    <t>REDES DE COMPUTADORES  15/07/2019 30/06/2022</t>
  </si>
  <si>
    <t>ESPECIALIZACAO - INFORMACAO E COMUNICACAO  25/07/2019 30/12/2020</t>
  </si>
  <si>
    <t>SISTEMAS PARA INTERNET  25/07/2019 30/07/2022</t>
  </si>
  <si>
    <t>MESTRADO PROFISSIONAL</t>
  </si>
  <si>
    <t>MESTRADO PROFISSIONAL - DESENVOLVIMENTO EDUCACIONAL E SOCIAL</t>
  </si>
  <si>
    <t>MESTRADO PROFISSIONAL - DESENVOLVIMENTO EDUCACIONAL E SOCIAL  08/08/2019 06/08/2021</t>
  </si>
  <si>
    <t>TECNICO EM AGRIMENSURA INTEGRADO 03/02/2020 23/12/2023</t>
  </si>
  <si>
    <t>TECNICO EM EVENTOS INTEGRADO 03/02/2020 23/12/2022</t>
  </si>
  <si>
    <t>TECNICO EM INFORMATICA INTEGRADO 03/02/2020 23/12/2022</t>
  </si>
  <si>
    <t>TECNICO EM SECRETARIADO INTEGRADO 03/02/2020 23/12/2022</t>
  </si>
  <si>
    <t>TECNICO EM EDIFICACOES INTEGRADO 03/02/2020 23/12/2023</t>
  </si>
  <si>
    <t>TECNICO EM ELETRONICA INTEGRADO 03/02/2020 23/12/2022</t>
  </si>
  <si>
    <t>TECNICO EM ELETROTECNICA INTEGRADO 03/02/2020 23/12/2022</t>
  </si>
  <si>
    <t>TECNICO EM AGRIMENSURA SUBSEQUENTE 03/02/2020 23/12/2021</t>
  </si>
  <si>
    <t>TECNICO EM EDIFICACOES SUBSEQUENTE 03/02/2020 23/12/2021</t>
  </si>
  <si>
    <t>TECNICO EM ELETROTECNICA SUBSEQUENTE 03/02/2020 23/12/2021</t>
  </si>
  <si>
    <t>TECNICO EM ELETRONICA SUBSEQUENTE 03/02/2020 23/12/2021</t>
  </si>
  <si>
    <t>CONSTRUCAO DE EDIFICIOS  03/02/2020 30/07/2023</t>
  </si>
  <si>
    <t>CONTROLE DE OBRAS  03/02/2020 30/07/2023</t>
  </si>
  <si>
    <t>GEOPROCESSAMENTO  03/02/2020 23/12/2022</t>
  </si>
  <si>
    <t>REDES DE COMPUTADORES  03/02/2020 23/12/2022</t>
  </si>
  <si>
    <t>SISTEMAS PARA INTERNET  03/02/2020 23/12/2022</t>
  </si>
  <si>
    <t>ENGENHARIA DE COMPUTACAO  03/02/2020 23/12/2024</t>
  </si>
  <si>
    <t>ENGENHARIA DE CONTROLE E AUTOMACAO  03/02/2020 23/12/2024</t>
  </si>
  <si>
    <t>SECRETARIADO EXECUTIVO  03/02/2020 23/12/2022</t>
  </si>
  <si>
    <t>TURISMO  03/02/2020 23/12/2022</t>
  </si>
  <si>
    <t>ENGENHARIA ELETRICA</t>
  </si>
  <si>
    <t>ENGENHARIA ELETRICA  03/02/2020 23/12/2024</t>
  </si>
  <si>
    <t>EDUCACAO FISICA  03/02/2020 23/12/2023</t>
  </si>
  <si>
    <t>MESTRADO - DESENVOLVIMENTO EDUCACIONAL E SOCIAL  20/03/2020 19/03/2022</t>
  </si>
  <si>
    <t>TECNICO EM BRINQUEDOTECA</t>
  </si>
  <si>
    <t>TECNICO EM BRINQUEDOTECA SUBSEQUENTE 23/11/2020 22/11/2022</t>
  </si>
  <si>
    <t>ESPECIALIZACAO - DESENVOLVIMENTO EDUCACIONAL E SOCIAL  01/03/2021 01/04/2022</t>
  </si>
  <si>
    <t>MESTRADO PROFISSIONAL - DESENVOLVIMENTO EDUCACIONAL E SOCIAL  09/04/2021 29/03/2023</t>
  </si>
  <si>
    <t>TECNICO EM AGRIMENSURA INTEGRADO 26/04/2021 23/12/2024</t>
  </si>
  <si>
    <t>TECNICO EM EDIFICACOES INTEGRADO 26/04/2021 23/12/2024</t>
  </si>
  <si>
    <t>TECNICO EM ELETROTECNICA INTEGRADO 26/04/2021 23/12/2023</t>
  </si>
  <si>
    <t>TECNICO EM ELETRONICA INTEGRADO 26/04/2021 23/12/2023</t>
  </si>
  <si>
    <t>TECNICO EM EVENTOS INTEGRADO 26/04/2021 23/12/2023</t>
  </si>
  <si>
    <t>TECNICO EM INFORMATICA INTEGRADO 26/04/2021 23/12/2023</t>
  </si>
  <si>
    <t>TECNICO EM SECRETARIADO INTEGRADO 26/04/2021 23/12/2023</t>
  </si>
  <si>
    <t>TECNICO EM AGRIMENSURA SUBSEQUENTE 26/04/2021 23/12/2022</t>
  </si>
  <si>
    <t>TECNICO EM EDIFICACOES SUBSEQUENTE 26/04/2021 23/12/2022</t>
  </si>
  <si>
    <t>TECNICO EM ELETROTECNICA SUBSEQUENTE 26/04/2021 23/12/2022</t>
  </si>
  <si>
    <t>TECNICO EM ELETRONICA SUBSEQUENTE 26/04/2021 23/12/2022</t>
  </si>
  <si>
    <t>ENGENHARIA DE COMPUTACAO  26/04/2021 23/12/2025</t>
  </si>
  <si>
    <t>ENGENHARIA DE CONTROLE E AUTOMACAO  26/04/2021 23/12/2025</t>
  </si>
  <si>
    <t>ENGENHARIA ELETRICA  26/04/2021 23/12/2025</t>
  </si>
  <si>
    <t>SECRETARIADO EXECUTIVO  26/04/2021 23/12/2023</t>
  </si>
  <si>
    <t>TURISMO  26/04/2021 23/12/2023</t>
  </si>
  <si>
    <t>EDUCACAO FISICA  26/04/2021 23/12/2024</t>
  </si>
  <si>
    <t>CONSTRUCAO DE EDIFICIOS  26/04/2021 15/06/2024</t>
  </si>
  <si>
    <t>CONTROLE DE OBRAS  26/04/2021 23/12/2023</t>
  </si>
  <si>
    <t>GEOPROCESSAMENTO  26/04/2021 23/12/2023</t>
  </si>
  <si>
    <t>REDES DE COMPUTADORES  26/04/2021 23/12/2023</t>
  </si>
  <si>
    <t>SISTEMAS PARA INTERNET  26/04/2021 23/12/2023</t>
  </si>
  <si>
    <t>MESTRADO - DESENVOLVIMENTO EDUCACIONAL E SOCIAL  26/04/2021 28/04/2023</t>
  </si>
  <si>
    <t>CONSTRUCAO DE EDIFICIOS  30/08/2021 23/12/2024</t>
  </si>
  <si>
    <t>CONTROLE DE OBRAS  30/08/2021 23/12/2024</t>
  </si>
  <si>
    <t>GEOPROCESSAMENTO  30/08/2021 20/07/2024</t>
  </si>
  <si>
    <t>REDES DE COMPUTADORES  30/08/2021 20/07/2024</t>
  </si>
  <si>
    <t>SISTEMAS PARA INTERNET  30/08/2021 20/07/2024</t>
  </si>
  <si>
    <t>ENGENHARIA DE COMPUTACAO  30/08/2021 25/07/2026</t>
  </si>
  <si>
    <t>ENGENHARIA DE CONTROLE E AUTOMACAO  30/08/2021 25/07/2026</t>
  </si>
  <si>
    <t>ENGENHARIA ELETRICA  30/08/2021 25/07/2026</t>
  </si>
  <si>
    <t>SECRETARIADO EXECUTIVO  30/08/2021 20/07/2024</t>
  </si>
  <si>
    <t>TURISMO  30/08/2021 20/07/2024</t>
  </si>
  <si>
    <t>TECNICO EM AGRIMENSURA SUBSEQUENTE 30/08/2021 15/07/2023</t>
  </si>
  <si>
    <t>TECNICO EM EDIFICACOES SUBSEQUENTE 30/08/2021 15/07/2023</t>
  </si>
  <si>
    <t>TECNICO EM ELETRONICA SUBSEQUENTE 30/08/2021 15/07/2023</t>
  </si>
  <si>
    <t>TECNICO EM ELETROTECNICA SUBSEQUENTE 30/08/2021 15/07/2023</t>
  </si>
  <si>
    <t>TECNICO EM AGRIMENSURA INTEGRADO 31/01/2022 23/12/2025</t>
  </si>
  <si>
    <t>TECNICO EM EDIFICACOES INTEGRADO 31/01/2022 23/12/2025</t>
  </si>
  <si>
    <t>TECNICO EM ELETRONICA INTEGRADO 31/01/2022 23/12/2024</t>
  </si>
  <si>
    <t>TECNICO EM ELETROTECNICA INTEGRADO 31/01/2022 23/12/2024</t>
  </si>
  <si>
    <t>TECNICO EM EVENTOS INTEGRADO 31/01/2022 23/12/2024</t>
  </si>
  <si>
    <t>TECNICO EM INFORMATICA INTEGRADO 31/01/2022 23/12/2024</t>
  </si>
  <si>
    <t>TECNICO EM SECRETARIADO INTEGRADO 31/01/2022 23/12/2024</t>
  </si>
  <si>
    <t>TECNICO EM AGRIMENSURA SUBSEQUENTE 31/01/2022 23/12/2023</t>
  </si>
  <si>
    <t>TECNICO EM EDIFICACOES SUBSEQUENTE 31/01/2022 23/12/2023</t>
  </si>
  <si>
    <t>TECNICO EM ELETRONICA SUBSEQUENTE 31/01/2022 23/12/2023</t>
  </si>
  <si>
    <t>TECNICO EM ELETROTECNICA SUBSEQUENTE 31/01/2022 23/12/2023</t>
  </si>
  <si>
    <t>CONSTRUCAO DE EDIFICIOS  31/01/2022 26/08/2025</t>
  </si>
  <si>
    <t>CONTROLE DE OBRAS  31/01/2022 28/06/2025</t>
  </si>
  <si>
    <t>GEOPROCESSAMENTO  31/01/2022 23/12/2024</t>
  </si>
  <si>
    <t>REDES DE COMPUTADORES  31/01/2022 23/12/2024</t>
  </si>
  <si>
    <t>SISTEMAS PARA INTERNET  31/01/2022 23/12/2024</t>
  </si>
  <si>
    <t>ENGENHARIA DE COMPUTACAO  31/01/2022 23/12/2026</t>
  </si>
  <si>
    <t>ENGENHARIA DE CONTROLE E AUTOMACAO  31/01/2022 23/12/2026</t>
  </si>
  <si>
    <t>ENGENHARIA ELETRICA  31/01/2022 23/01/2026</t>
  </si>
  <si>
    <t>SECRETARIADO EXECUTIVO  31/01/2022 30/11/2025</t>
  </si>
  <si>
    <t>TURISMO  31/01/2022 30/11/2025</t>
  </si>
  <si>
    <t>EDUCACAO FISICA  31/01/2022 23/12/2025</t>
  </si>
  <si>
    <t>MESTRADO PROFISSIONAL - DESENVOLVIMENTO EDUCACIONAL E SOCIAL  03/03/2022 01/03/2024</t>
  </si>
  <si>
    <t>MESTRADO - DESENVOLVIMENTO EDUCACIONAL E SOCIAL  08/03/2022 06/03/2024</t>
  </si>
  <si>
    <t>TECNICO EM AGRIMENSURA SUBSEQUENTE 18/07/2022 15/06/2024</t>
  </si>
  <si>
    <t>TECNICO EM EDIFICACOES SUBSEQUENTE 18/07/2022 15/06/2024</t>
  </si>
  <si>
    <t>TECNICO EM ELETROTECNICA SUBSEQUENTE 18/07/2022 15/06/2024</t>
  </si>
  <si>
    <t>TECNICO EM ELETRONICA SUBSEQUENTE 18/07/2022 15/06/2024</t>
  </si>
  <si>
    <t>ENGENHARIA DE COMPUTACAO  18/07/2022 18/06/2027</t>
  </si>
  <si>
    <t>ENGENHARIA DE CONTROLE E AUTOMACAO  18/07/2022 18/06/2027</t>
  </si>
  <si>
    <t>ENGENHARIA ELETRICA  18/07/2022 18/06/2027</t>
  </si>
  <si>
    <t>SECRETARIADO EXECUTIVO  18/07/2022 17/05/2026</t>
  </si>
  <si>
    <t>TURISMO  18/07/2022 17/05/2026</t>
  </si>
  <si>
    <t>CONSTRUCAO DE EDIFICIOS  18/07/2022 23/12/2025</t>
  </si>
  <si>
    <t>CONTROLE DE OBRAS  18/07/2022 23/12/2025</t>
  </si>
  <si>
    <t>GEOPROCESSAMENTO  18/07/2022 14/06/2025</t>
  </si>
  <si>
    <t>REDES DE COMPUTADORES  18/07/2022 14/06/2025</t>
  </si>
  <si>
    <t>SISTEMAS PARA INTERNET  18/07/2022 14/06/2025</t>
  </si>
  <si>
    <t>ESPECIALIZACAO - DESENVOLVIMENTO EDUCACIONAL E SOCIAL  14/11/2022 17/05/2024</t>
  </si>
  <si>
    <t>ESPECIALIZACAO - INFORMACAO E COMUNICACAO  14/11/2022 17/05/2024</t>
  </si>
  <si>
    <t>ESPECIALIZACAO - DESENVOLVIMENTO EDUCACIONAL E SOCIAL  15/11/2022 17/05/2024</t>
  </si>
  <si>
    <t>ESPECIALIZACAO - DESENVOLVIMENTO EDUCACIONAL E SOCIAL  15/11/2022 16/05/2024</t>
  </si>
  <si>
    <t>ESPECIALIZACAO - DESENVOLVIMENTO EDUCACIONAL E SOCIAL  15/11/2022 20/05/2024</t>
  </si>
  <si>
    <t>ESPECIALIZACAO - DESENVOLVIMENTO EDUCACIONAL E SOCIAL  15/11/2022 15/05/2024</t>
  </si>
  <si>
    <t>ESPECIALIZACAO - DESENVOLVIMENTO EDUCACIONAL E SOCIAL  15/11/2022 21/05/2024</t>
  </si>
  <si>
    <t>ESPECIALIZACAO - INFORMACAO E COMUNICACAO  15/11/2022 17/05/2024</t>
  </si>
  <si>
    <t>ESPECIALIZACAO - DESENVOLVIMENTO EDUCACIONAL E SOCIAL  16/11/2022 17/05/2024</t>
  </si>
  <si>
    <t>ESPECIALIZACAO - INFORMACAO E COMUNICACAO  16/11/2022 17/05/2024</t>
  </si>
  <si>
    <t>ESPECIALIZACAO - DESENVOLVIMENTO EDUCACIONAL E SOCIAL  17/11/2022 17/05/2024</t>
  </si>
  <si>
    <t>ESPECIALIZACAO - INFORMACAO E COMUNICACAO  17/11/2022 17/05/2024</t>
  </si>
  <si>
    <t>ESPECIALIZACAO - DESENVOLVIMENTO EDUCACIONAL E SOCIAL  18/11/2022 17/05/2024</t>
  </si>
  <si>
    <t>ESPECIALIZACAO - INFORMACAO E COMUNICACAO  18/11/2022 17/05/2024</t>
  </si>
  <si>
    <t>TECNICO EM AGRIMENSURA INTEGRADO 30/01/2023 23/12/2026</t>
  </si>
  <si>
    <t>TECNICO EM EDIFICACOES INTEGRADO 30/01/2023 23/12/2026</t>
  </si>
  <si>
    <t>TECNICO EM ELETRONICA INTEGRADO 30/01/2023 23/12/2025</t>
  </si>
  <si>
    <t>TECNICO EM ELETROTECNICA INTEGRADO 30/01/2023 23/12/2025</t>
  </si>
  <si>
    <t>TECNICO EM EVENTOS INTEGRADO 30/01/2023 23/12/2025</t>
  </si>
  <si>
    <t>TECNICO EM INFORMATICA INTEGRADO 30/01/2023 23/12/2025</t>
  </si>
  <si>
    <t>TECNICO EM SECRETARIADO INTEGRADO 30/01/2023 23/12/2025</t>
  </si>
  <si>
    <t>TECNICO EM AGRIMENSURA SUBSEQUENTE 30/01/2023 23/12/2024</t>
  </si>
  <si>
    <t>TECNICO EM EDIFICACOES SUBSEQUENTE 30/01/2023 23/12/2024</t>
  </si>
  <si>
    <t>TECNICO EM ELETROTECNICA SUBSEQUENTE 30/01/2023 23/12/2024</t>
  </si>
  <si>
    <t>TECNICO EM ELETRONICA SUBSEQUENTE 30/01/2023 23/12/2024</t>
  </si>
  <si>
    <t>ENGENHARIA DE COMPUTACAO  30/01/2023 23/12/2027</t>
  </si>
  <si>
    <t>ENGENHARIA DE CONTROLE E AUTOMACAO  30/01/2023 23/12/2027</t>
  </si>
  <si>
    <t>ENGENHARIA ELETRICA  30/01/2023 23/12/2027</t>
  </si>
  <si>
    <t>SECRETARIADO EXECUTIVO  30/01/2023 23/12/2025</t>
  </si>
  <si>
    <t>TURISMO  30/01/2023 23/12/2025</t>
  </si>
  <si>
    <t>EDUCACAO FISICA  30/01/2023 23/12/2026</t>
  </si>
  <si>
    <t>CONTROLE DE OBRAS  30/01/2023 26/06/2026</t>
  </si>
  <si>
    <t>GEOPROCESSAMENTO  30/01/2023 23/12/2025</t>
  </si>
  <si>
    <t>REDES DE COMPUTADORES  30/01/2023 23/12/2025</t>
  </si>
  <si>
    <t>SISTEMAS PARA INTERNET  30/01/2023 23/12/2025</t>
  </si>
  <si>
    <t>MESTRADO - DESENVOLVIMENTO EDUCACIONAL E SOCIAL  13/03/2023 31/03/2025</t>
  </si>
  <si>
    <t>SISTEMAS PARA INTERNET  17/03/2023 23/12/2025</t>
  </si>
  <si>
    <t>SISTEMAS PARA INTERNET  20/03/2023 23/12/2025</t>
  </si>
  <si>
    <t>SISTEMAS PARA INTERNET  21/03/2023 23/12/2025</t>
  </si>
  <si>
    <t>SISTEMAS PARA INTERNET  22/03/2023 23/12/2025</t>
  </si>
  <si>
    <t>SISTEMAS PARA INTERNET  23/03/2023 23/12/2025</t>
  </si>
  <si>
    <t>SISTEMAS PARA INTERNET  24/03/2023 23/12/2025</t>
  </si>
  <si>
    <t>MESTRADO PROFISSIONAL - DESENVOLVIMENTO EDUCACIONAL E SOCIAL  30/03/2023 31/03/2025</t>
  </si>
  <si>
    <t>TECNICO EM INFRAESTRUTURA ESCOLAR SUBSEQUENTE 01/04/2023 30/09/2024</t>
  </si>
  <si>
    <t>TECNICO EM ALIMENTACAO ESCOLAR SUBSEQUENTE 01/04/2023 30/09/2024</t>
  </si>
  <si>
    <t>TECNICO EM MULTIMEIOS DIDATICOS</t>
  </si>
  <si>
    <t>TECNICO EM MULTIMEIOS DIDATICOS SUBSEQUENTE 01/04/2023 30/09/2024</t>
  </si>
  <si>
    <t>TECNICO EM SECRETARIA ESCOLAR SUBSEQUENTE 01/04/2023 30/09/2024</t>
  </si>
  <si>
    <t>TECNICO EM AGRIMENSURA SUBSEQUENTE 24/07/2023 27/06/2025</t>
  </si>
  <si>
    <t>TECNICO EM EDIFICACOES SUBSEQUENTE 24/07/2023 27/06/2025</t>
  </si>
  <si>
    <t>TECNICO EM ELETROTECNICA SUBSEQUENTE 24/07/2023 27/06/2025</t>
  </si>
  <si>
    <t>TECNICO EM ELETRONICA SUBSEQUENTE 24/07/2023 27/06/2025</t>
  </si>
  <si>
    <t>ENGENHARIA CIVIL</t>
  </si>
  <si>
    <t>ENGENHARIA CIVIL  24/07/2023 14/07/2028</t>
  </si>
  <si>
    <t>ENGENHARIA DE COMPUTACAO  24/07/2023 14/07/2028</t>
  </si>
  <si>
    <t>ENGENHARIA DE CONTROLE E AUTOMACAO  24/07/2023 14/07/2028</t>
  </si>
  <si>
    <t>ENGENHARIA ELETRICA  24/07/2023 14/07/2028</t>
  </si>
  <si>
    <t>SECRETARIADO EXECUTIVO  24/07/2023 17/07/2026</t>
  </si>
  <si>
    <t>TURISMO  24/07/2023 17/07/2026</t>
  </si>
  <si>
    <t>CONTROLE DE OBRAS  24/07/2023 23/12/2026</t>
  </si>
  <si>
    <t>GEOPROCESSAMENTO  24/07/2023 17/07/2026</t>
  </si>
  <si>
    <t>REDES DE COMPUTADORES  24/07/2023 17/07/2026</t>
  </si>
  <si>
    <t>SISTEMAS PARA INTERNET  24/07/2023 17/07/2026</t>
  </si>
  <si>
    <t>QUIMICA  16/07/2007 25/06/2010</t>
  </si>
  <si>
    <t>GESTAO AMBIENTAL</t>
  </si>
  <si>
    <t>GESTAO AMBIENTAL  08/02/2010 20/12/2013</t>
  </si>
  <si>
    <t>TECNICO EM ALIMENTOS SUBSEQUENTE 07/02/2011 21/12/2012</t>
  </si>
  <si>
    <t>TECNICO EM ALIMENTOS SUBSEQUENTE 26/03/2012 20/12/2013</t>
  </si>
  <si>
    <t>QUIMICA  15/10/2012 28/08/2015</t>
  </si>
  <si>
    <t>GESTAO AMBIENTAL  07/11/2012 28/08/2015</t>
  </si>
  <si>
    <t>ENGENHARIA DE ALIMENTOS</t>
  </si>
  <si>
    <t>ENGENHARIA DE ALIMENTOS  07/11/2012 25/08/2017</t>
  </si>
  <si>
    <t>GESTAO AMBIENTAL  15/04/2013 31/12/2015</t>
  </si>
  <si>
    <t>ENGENHARIA DE ALIMENTOS  15/04/2013 31/12/2017</t>
  </si>
  <si>
    <t>GESTAO AMBIENTAL  02/09/2013 29/07/2016</t>
  </si>
  <si>
    <t>ENGENHARIA DE ALIMENTOS  02/09/2013 27/07/2018</t>
  </si>
  <si>
    <t>QUIMICA  02/12/2013 18/12/2015</t>
  </si>
  <si>
    <t>GESTAO AMBIENTAL  17/02/2014 16/12/2016</t>
  </si>
  <si>
    <t>TECNICO EM ALIMENTOS SUBSEQUENTE 17/02/2014 18/12/2015</t>
  </si>
  <si>
    <t>ENGENHARIA DE ALIMENTOS  17/02/2014 14/12/2018</t>
  </si>
  <si>
    <t>QUIMICA  25/06/2014 23/06/2017</t>
  </si>
  <si>
    <t>TECNICO EM ALIMENTOS SUBSEQUENTE 01/09/2014 20/07/2016</t>
  </si>
  <si>
    <t>ENGENHARIA DE ALIMENTOS  01/09/2014 22/07/2019</t>
  </si>
  <si>
    <t>GESTAO AMBIENTAL  09/02/2015 18/12/2017</t>
  </si>
  <si>
    <t>TECNICO EM QUIMICA</t>
  </si>
  <si>
    <t>TECNICO EM QUIMICA SUBSEQUENTE 09/02/2015 09/02/2016</t>
  </si>
  <si>
    <t>TECNICO EM MEIO AMBIENTE</t>
  </si>
  <si>
    <t>TECNICO EM MEIO AMBIENTE INTEGRADO 09/02/2015 14/12/2018</t>
  </si>
  <si>
    <t>QUIMICA  03/08/2015 29/06/2018</t>
  </si>
  <si>
    <t>GESTAO AMBIENTAL  26/10/2015 27/07/2018</t>
  </si>
  <si>
    <t>TECNICO EM ALIMENTOS SUBSEQUENTE 26/10/2015 28/07/2017</t>
  </si>
  <si>
    <t>ENGENHARIA DE ALIMENTOS  04/04/2016 18/12/2020</t>
  </si>
  <si>
    <t>QUIMICA  25/07/2016 28/06/2019</t>
  </si>
  <si>
    <t>TECNICO EM ALIMENTOS SUBSEQUENTE 24/08/2016 27/07/2018</t>
  </si>
  <si>
    <t>ENGENHARIA DE ALIMENTOS  24/08/2016 30/07/2021</t>
  </si>
  <si>
    <t>GESTAO AMBIENTAL  24/08/2016 26/07/2019</t>
  </si>
  <si>
    <t>TECNICO EM QUIMICA INTEGRADO 24/08/2016 26/07/2019</t>
  </si>
  <si>
    <t>QUIMICA  03/10/2016 28/06/2019</t>
  </si>
  <si>
    <t>ENGENHARIA DE ALIMENTOS  02/03/2017 17/12/2021</t>
  </si>
  <si>
    <t>GESTAO AMBIENTAL  02/03/2017 20/12/2019</t>
  </si>
  <si>
    <t>TECNICO EM ALIMENTOS SUBSEQUENTE 02/03/2017 21/12/2018</t>
  </si>
  <si>
    <t>TECNICO EM QUIMICA SUBSEQUENTE 02/03/2017 21/12/2018</t>
  </si>
  <si>
    <t>QUIMICA  02/03/2017 01/03/2021</t>
  </si>
  <si>
    <t>MATEMATICA  02/03/2017 01/03/2021</t>
  </si>
  <si>
    <t>ENGENHARIA DE ALIMENTOS  07/08/2017 18/07/2022</t>
  </si>
  <si>
    <t>GESTAO AMBIENTAL  07/08/2017 30/07/2020</t>
  </si>
  <si>
    <t>TECNICO EM ALIMENTOS SUBSEQUENTE 07/08/2017 17/07/2019</t>
  </si>
  <si>
    <t>TECNICO EM QUIMICA SUBSEQUENTE 07/08/2017 17/07/2019</t>
  </si>
  <si>
    <t>MATEMATICA  22/12/2017 21/12/2021</t>
  </si>
  <si>
    <t>QUIMICA  22/12/2017 21/12/2021</t>
  </si>
  <si>
    <t>TECNICO EM QUIMICA SUBSEQUENTE 05/02/2018 04/02/2020</t>
  </si>
  <si>
    <t>TECNICO EM ALIMENTOS SUBSEQUENTE 05/02/2018 04/02/2020</t>
  </si>
  <si>
    <t>GESTAO AMBIENTAL  05/02/2018 04/02/2021</t>
  </si>
  <si>
    <t>ENGENHARIA DE ALIMENTOS  05/02/2018 04/02/2023</t>
  </si>
  <si>
    <t>TECNICO EM MEIO AMBIENTE INTEGRADO 05/02/2018 20/12/2020</t>
  </si>
  <si>
    <t>TECNICO EM MEIO AMBIENTE INTEGRADO 25/07/2018 24/07/2021</t>
  </si>
  <si>
    <t>TECNICO EM QUIMICA INTEGRADO 25/07/2018 24/07/2021</t>
  </si>
  <si>
    <t>TECNICO EM ALIMENTOS SUBSEQUENTE 25/07/2018 24/07/2020</t>
  </si>
  <si>
    <t>TECNICO EM QUIMICA SUBSEQUENTE 25/07/2018 24/07/2020</t>
  </si>
  <si>
    <t>GESTAO AMBIENTAL  25/07/2018 24/07/2021</t>
  </si>
  <si>
    <t>ENGENHARIA DE ALIMENTOS  01/08/2018 01/08/2023</t>
  </si>
  <si>
    <t>MATEMATICA  25/10/2018 24/10/2022</t>
  </si>
  <si>
    <t>QUIMICA  25/10/2018 24/10/2022</t>
  </si>
  <si>
    <t>TECNICO EM MEIO AMBIENTE INTEGRADO 04/02/2019 03/02/2022</t>
  </si>
  <si>
    <t>TECNICO EM QUIMICA INTEGRADO 04/02/2019 03/02/2022</t>
  </si>
  <si>
    <t>GESTAO AMBIENTAL  04/02/2019 03/02/2022</t>
  </si>
  <si>
    <t>ENGENHARIA DE ALIMENTOS  04/02/2019 03/02/2024</t>
  </si>
  <si>
    <t>TECNICO EM ALIMENTOS SUBSEQUENTE 04/02/2019 03/02/2021</t>
  </si>
  <si>
    <t>TECNICO EM QUIMICA SUBSEQUENTE 04/02/2019 03/02/2021</t>
  </si>
  <si>
    <t>MESTRADO - AMBIENTE E SAUDE</t>
  </si>
  <si>
    <t>MESTRADO - AMBIENTE E SAUDE  18/03/2019 18/12/2020</t>
  </si>
  <si>
    <t>ENGENHARIA DE ALIMENTOS  24/07/2019 30/06/2023</t>
  </si>
  <si>
    <t>TECNICO EM MEIO AMBIENTE INTEGRADO 24/07/2019 30/06/2023</t>
  </si>
  <si>
    <t>TECNICO EM QUIMICA INTEGRADO 24/07/2019 30/06/2023</t>
  </si>
  <si>
    <t>TECNICO EM ALIMENTOS SUBSEQUENTE 24/07/2019 25/06/2021</t>
  </si>
  <si>
    <t>TECNICO EM QUIMICA SUBSEQUENTE 24/07/2019 25/06/2021</t>
  </si>
  <si>
    <t>GESTAO AMBIENTAL  24/07/2019 29/07/2022</t>
  </si>
  <si>
    <t>TECNICO EM ALIMENTOS SUBSEQUENTE 03/02/2020 17/12/2021</t>
  </si>
  <si>
    <t>TECNICO EM QUIMICA SUBSEQUENTE 03/02/2020 17/12/2021</t>
  </si>
  <si>
    <t>TECNICO EM MEIO AMBIENTE INTEGRADO 03/02/2020 23/12/2022</t>
  </si>
  <si>
    <t>TECNICO EM QUIMICA INTEGRADO 03/02/2020 23/12/2022</t>
  </si>
  <si>
    <t>GESTAO AMBIENTAL  03/02/2020 24/02/2023</t>
  </si>
  <si>
    <t>ENGENHARIA DE ALIMENTOS  03/02/2020 13/12/2024</t>
  </si>
  <si>
    <t>MESTRADO PROFISSIONAL - CONTROLE E PROCESSOS INDUSTRIAIS</t>
  </si>
  <si>
    <t>MESTRADO PROFISSIONAL - CONTROLE E PROCESSOS INDUSTRIAIS  12/03/2020 31/03/2022</t>
  </si>
  <si>
    <t>MESTRADO - AMBIENTE E SAUDE  16/03/2020 17/12/2021</t>
  </si>
  <si>
    <t>MESTRADO - AMBIENTE E SAUDE  12/04/2021 16/12/2022</t>
  </si>
  <si>
    <t>MESTRADO PROFISSIONAL - CONTROLE E PROCESSOS INDUSTRIAIS  12/04/2021 28/04/2023</t>
  </si>
  <si>
    <t>TECNICO EM MEIO AMBIENTE INTEGRADO 17/05/2021 15/12/2023</t>
  </si>
  <si>
    <t>TECNICO EM QUIMICA INTEGRADO 17/05/2021 15/12/2023</t>
  </si>
  <si>
    <t>ENGENHARIA DE ALIMENTOS  17/05/2021 19/12/2025</t>
  </si>
  <si>
    <t>GESTAO AMBIENTAL  17/05/2021 15/12/2023</t>
  </si>
  <si>
    <t>TECNICO EM ALIMENTOS SUBSEQUENTE 17/05/2021 17/05/2023</t>
  </si>
  <si>
    <t>TECNICO EM QUIMICA SUBSEQUENTE 17/05/2021 17/05/2023</t>
  </si>
  <si>
    <t>TECNICO EM ALIMENTOS SUBSEQUENTE 25/10/2021 31/07/2023</t>
  </si>
  <si>
    <t>TECNICO EM QUIMICA SUBSEQUENTE 25/10/2021 31/07/2023</t>
  </si>
  <si>
    <t>TECNICO EM MEIO AMBIENTE INTEGRADO 25/10/2021 31/07/2024</t>
  </si>
  <si>
    <t>TECNICO EM QUIMICA INTEGRADO 25/10/2021 31/07/2024</t>
  </si>
  <si>
    <t>GESTAO AMBIENTAL  25/10/2021 31/07/2023</t>
  </si>
  <si>
    <t>ENGENHARIA DE ALIMENTOS  25/10/2021 31/07/2026</t>
  </si>
  <si>
    <t>ESPECIALIZACAO - DESENVOLVIMENTO EDUCACIONAL E SOCIAL  22/04/2022 22/12/2023</t>
  </si>
  <si>
    <t>TECNICO EM MEIO AMBIENTE INTEGRADO 25/04/2022 20/12/2024</t>
  </si>
  <si>
    <t>TECNICO EM QUIMICA INTEGRADO 25/04/2022 20/12/2024</t>
  </si>
  <si>
    <t>TECNICO EM ALIMENTOS SUBSEQUENTE 25/04/2022 15/12/2023</t>
  </si>
  <si>
    <t>TECNICO EM QUIMICA SUBSEQUENTE 25/04/2022 15/12/2023</t>
  </si>
  <si>
    <t>GESTAO AMBIENTAL  25/04/2022 20/12/2024</t>
  </si>
  <si>
    <t>ENGENHARIA DE ALIMENTOS  25/04/2022 18/12/2026</t>
  </si>
  <si>
    <t>MESTRADO - AMBIENTE E SAUDE  16/05/2022 22/12/2023</t>
  </si>
  <si>
    <t>MESTRADO PROFISSIONAL - CONTROLE E PROCESSOS INDUSTRIAIS  01/08/2022 30/08/2024</t>
  </si>
  <si>
    <t>TECNICO EM ALIMENTOS SUBSEQUENTE 22/09/2022 31/07/2024</t>
  </si>
  <si>
    <t>TECNICO EM MEIO AMBIENTE INTEGRADO 22/09/2022 31/07/2025</t>
  </si>
  <si>
    <t>TECNICO EM QUIMICA INTEGRADO 22/09/2022 31/07/2025</t>
  </si>
  <si>
    <t>GESTAO AMBIENTAL  22/09/2022 31/07/2025</t>
  </si>
  <si>
    <t>ENGENHARIA DE ALIMENTOS  22/09/2022 31/07/2027</t>
  </si>
  <si>
    <t>QUIMICA  22/09/2022 31/12/2025</t>
  </si>
  <si>
    <t>GESTAO AMBIENTAL  09/03/2023 30/07/2026</t>
  </si>
  <si>
    <t>ENGENHARIA DE ALIMENTOS  09/03/2023 31/12/2027</t>
  </si>
  <si>
    <t>QUIMICA  09/03/2023 30/07/2026</t>
  </si>
  <si>
    <t>TECNICO EM MEIO AMBIENTE INTEGRADO 09/03/2023 30/12/2025</t>
  </si>
  <si>
    <t>TECNICO EM QUIMICA INTEGRADO 09/03/2023 30/12/2025</t>
  </si>
  <si>
    <t>TECNICO EM ALIMENTOS SUBSEQUENTE 09/03/2023 20/12/2024</t>
  </si>
  <si>
    <t>MESTRADO PROFISSIONAL - CONTROLE E PROCESSOS INDUSTRIAIS  20/03/2023 20/03/2025</t>
  </si>
  <si>
    <t>MESTRADO - AMBIENTE E SAUDE  27/04/2023 27/04/2025</t>
  </si>
  <si>
    <t>MATEMATICA  05/06/2023 05/06/2027</t>
  </si>
  <si>
    <t>MATEMATICA  05/06/2023 05/07/2027</t>
  </si>
  <si>
    <t>QUIMICA  05/06/2023 05/06/2027</t>
  </si>
  <si>
    <t>QUIMICA  05/06/2023 05/07/2027</t>
  </si>
  <si>
    <t>GESTAO AMBIENTAL  08/08/2023 20/12/2026</t>
  </si>
  <si>
    <t>ENGENHARIA DE ALIMENTOS  08/08/2023 31/07/2028</t>
  </si>
  <si>
    <t>QUIMICA  08/08/2023 20/12/2026</t>
  </si>
  <si>
    <t>TECNICO EM QUIMICA INTEGRADO 08/08/2023 31/07/2026</t>
  </si>
  <si>
    <t>TECNICO EM MEIO AMBIENTE INTEGRADO 08/08/2023 31/07/2026</t>
  </si>
  <si>
    <t>CIENCIAS BIOLOGICAS  06/02/2017 23/12/2020</t>
  </si>
  <si>
    <t>TECNICO EM AGRICULTURA INTEGRADO 05/02/2018 18/12/2020</t>
  </si>
  <si>
    <t>TECNICO EM ADMINISTRACAO INTEGRADO 05/02/2018 18/12/2020</t>
  </si>
  <si>
    <t>CIENCIAS BIOLOGICAS  05/02/2018 20/12/2021</t>
  </si>
  <si>
    <t>TECNICO EM AGRICULTURA INTEGRADO 04/02/2019 24/12/2021</t>
  </si>
  <si>
    <t>CIENCIAS BIOLOGICAS  04/02/2019 23/12/2022</t>
  </si>
  <si>
    <t>TECNICO EM ADMINISTRACAO INTEGRADO 10/02/2020 23/12/2022</t>
  </si>
  <si>
    <t>TECNICO EM AGRICULTURA INTEGRADO 10/02/2020 23/12/2022</t>
  </si>
  <si>
    <t>CIENCIAS BIOLOGICAS  10/02/2020 29/12/2023</t>
  </si>
  <si>
    <t>TECNICO EM ADMINISTRACAO INTEGRADO 12/04/2021 23/12/2023</t>
  </si>
  <si>
    <t>TECNICO EM AGRICULTURA INTEGRADO 12/04/2021 23/12/2023</t>
  </si>
  <si>
    <t>CIENCIAS BIOLOGICAS  01/05/2021 20/12/2024</t>
  </si>
  <si>
    <t>TECNICO EM ADMINISTRACAO INTEGRADO 31/01/2022 23/12/2024</t>
  </si>
  <si>
    <t>TECNICO EM AGRICULTURA INTEGRADO 31/01/2022 23/12/2024</t>
  </si>
  <si>
    <t>CIENCIAS BIOLOGICAS  31/01/2022 23/12/2025</t>
  </si>
  <si>
    <t>TECNICO EM ADMINISTRACAO INTEGRADO 30/01/2023 22/12/2025</t>
  </si>
  <si>
    <t>TECNICO EM AGRICULTURA INTEGRADO 30/01/2023 22/12/2025</t>
  </si>
  <si>
    <t>TECNICO EM ADMINISTRACAO CONCOMITANTE 19/09/2023 20/12/2025</t>
  </si>
  <si>
    <t>ZOOTECNIA  05/02/2017 31/12/2021</t>
  </si>
  <si>
    <t>AGROINDUSTRIA  05/02/2017 31/12/2019</t>
  </si>
  <si>
    <t>ZOOTECNIA  19/02/2018 31/12/2022</t>
  </si>
  <si>
    <t>CIENCIAS DA NATUREZA  19/02/2018 31/12/2021</t>
  </si>
  <si>
    <t>AGROINDUSTRIA  19/02/2018 31/12/2020</t>
  </si>
  <si>
    <t>CIENCIAS DA NATUREZA  04/02/2019 31/12/2022</t>
  </si>
  <si>
    <t>ZOOTECNIA  04/02/2019 31/12/2023</t>
  </si>
  <si>
    <t>AGROINDUSTRIA  04/02/2019 31/12/2021</t>
  </si>
  <si>
    <t>CIENCIAS DA NATUREZA  03/02/2020 31/12/2023</t>
  </si>
  <si>
    <t>ZOOTECNIA  03/02/2020 31/12/2024</t>
  </si>
  <si>
    <t>AGROINDUSTRIA  03/02/2020 31/12/2022</t>
  </si>
  <si>
    <t>ESPECIALIZACAO - SEGURANCA  01/03/2021 01/04/2022</t>
  </si>
  <si>
    <t>TECNICO EM AGROPECUARIA INTEGRADO 05/04/2021 31/12/2023</t>
  </si>
  <si>
    <t>AGROINDUSTRIA  05/04/2021 31/12/2023</t>
  </si>
  <si>
    <t>ZOOTECNIA  05/04/2021 31/12/2025</t>
  </si>
  <si>
    <t>CIENCIAS DA NATUREZA  05/04/2021 31/12/2024</t>
  </si>
  <si>
    <t>TECNICO EM AGROPECUARIA INTEGRADO 07/02/2022 31/12/2024</t>
  </si>
  <si>
    <t>CIENCIAS BIOLOGICAS  08/02/2011 28/03/2014</t>
  </si>
  <si>
    <t>MATEMATICA  08/02/2011 28/11/2014</t>
  </si>
  <si>
    <t>MATEMATICA  26/03/2012 22/12/2015</t>
  </si>
  <si>
    <t>CIENCIAS BIOLOGICAS  26/03/2012 22/12/2015</t>
  </si>
  <si>
    <t>CIENCIAS BIOLOGICAS  13/05/2013 22/12/2016</t>
  </si>
  <si>
    <t>CIENCIAS BIOLOGICAS  22/04/2014 22/12/2017</t>
  </si>
  <si>
    <t>MATEMATICA  22/04/2014 22/12/2017</t>
  </si>
  <si>
    <t>MATEMATICA  30/03/2015 30/03/2019</t>
  </si>
  <si>
    <t>CIENCIAS BIOLOGICAS  30/03/2015 30/03/2019</t>
  </si>
  <si>
    <t>CIENCIAS BIOLOGICAS  23/05/2016 22/05/2020</t>
  </si>
  <si>
    <t>MATEMATICA  23/05/2016 22/05/2020</t>
  </si>
  <si>
    <t>ADMINISTRACAO  23/05/2016 22/05/2020</t>
  </si>
  <si>
    <t>ADMINISTRACAO  08/05/2017 08/05/2021</t>
  </si>
  <si>
    <t>CIENCIAS BIOLOGICAS  08/05/2017 08/05/2021</t>
  </si>
  <si>
    <t>MATEMATICA  08/05/2017 08/05/2021</t>
  </si>
  <si>
    <t>TECNICO EM COMERCIO INTEGRADO 05/03/2018 22/12/2020</t>
  </si>
  <si>
    <t>TECNICO EM MEIO AMBIENTE INTEGRADO 05/03/2018 22/12/2020</t>
  </si>
  <si>
    <t>ADMINISTRACAO  16/04/2018 30/12/2021</t>
  </si>
  <si>
    <t>MATEMATICA  16/04/2018 30/12/2021</t>
  </si>
  <si>
    <t>CIENCIAS BIOLOGICAS  16/04/2018 30/12/2021</t>
  </si>
  <si>
    <t>TECNICO EM AGROPECUARIA INTEGRADO 04/02/2019 23/12/2021</t>
  </si>
  <si>
    <t>TECNICO EM MEIO AMBIENTE INTEGRADO 04/02/2019 23/12/2021</t>
  </si>
  <si>
    <t>CIENCIAS BIOLOGICAS  02/04/2019 29/04/2022</t>
  </si>
  <si>
    <t>MATEMATICA  03/04/2019 29/04/2022</t>
  </si>
  <si>
    <t>ADMINISTRACAO  04/04/2019 30/04/2023</t>
  </si>
  <si>
    <t>TECNICO EM AGROPECUARIA INTEGRADO 03/02/2020 23/12/2022</t>
  </si>
  <si>
    <t>TECNICO EM COMERCIO INTEGRADO 03/02/2020 23/12/2022</t>
  </si>
  <si>
    <t>ADMINISTRACAO  20/02/2020 29/12/2023</t>
  </si>
  <si>
    <t>CIENCIAS BIOLOGICAS  20/02/2020 29/12/2023</t>
  </si>
  <si>
    <t>MATEMATICA  20/02/2020 29/12/2023</t>
  </si>
  <si>
    <t>TECNICO EM AGROPECUARIA INTEGRADO 15/03/2021 22/12/2023</t>
  </si>
  <si>
    <t>TECNICO EM COMERCIO INTEGRADO 15/03/2021 22/12/2023</t>
  </si>
  <si>
    <t>TECNICO EM MEIO AMBIENTE INTEGRADO 15/03/2021 22/12/2023</t>
  </si>
  <si>
    <t>CIENCIAS BIOLOGICAS  15/03/2021 23/12/2024</t>
  </si>
  <si>
    <t>MATEMATICA  15/03/2021 23/12/2024</t>
  </si>
  <si>
    <t>ADMINISTRACAO  15/03/2021 23/12/2024</t>
  </si>
  <si>
    <t>TECNICO EM COMERCIO INTEGRADO 07/02/2022 31/12/2024</t>
  </si>
  <si>
    <t>TECNICO EM MEIO AMBIENTE INTEGRADO 07/02/2022 31/12/2024</t>
  </si>
  <si>
    <t>ADMINISTRACAO  07/02/2022 31/12/2025</t>
  </si>
  <si>
    <t>CIENCIAS BIOLOGICAS  07/02/2022 31/12/2025</t>
  </si>
  <si>
    <t>MATEMATICA  07/02/2022 31/12/2025</t>
  </si>
  <si>
    <t>TECNICO EM AGROPECUARIA INTEGRADO 06/02/2023 23/12/2025</t>
  </si>
  <si>
    <t>TECNICO EM COMERCIO INTEGRADO 06/02/2023 23/12/2025</t>
  </si>
  <si>
    <t>TECNICO EM MEIO AMBIENTE INTEGRADO 06/02/2023 23/12/2025</t>
  </si>
  <si>
    <t>ADMINISTRACAO  06/02/2023 23/12/2026</t>
  </si>
  <si>
    <t>CIENCIAS BIOLOGICAS  06/02/2023 23/12/2026</t>
  </si>
  <si>
    <t>MATEMATICA  06/02/2023 23/12/2026</t>
  </si>
  <si>
    <t>AGRONOMIA  06/02/2023 23/12/2027</t>
  </si>
  <si>
    <t>FISICA  05/02/2014 20/12/2017</t>
  </si>
  <si>
    <t>COMERCIO EXTERIOR</t>
  </si>
  <si>
    <t>COMERCIO EXTERIOR  05/02/2014 20/12/2016</t>
  </si>
  <si>
    <t>FISICA  21/03/2016 20/12/2019</t>
  </si>
  <si>
    <t>COMERCIO EXTERIOR  21/03/2016 21/12/2018</t>
  </si>
  <si>
    <t>ESPECIALIZACAO - GESTAO E NEGOCIOS  25/11/2016 30/04/2018</t>
  </si>
  <si>
    <t>COMERCIO EXTERIOR  13/02/2017 20/12/2019</t>
  </si>
  <si>
    <t>ELETROTECNICA INDUSTRIAL</t>
  </si>
  <si>
    <t>ELETROTECNICA INDUSTRIAL  13/02/2017 17/07/2020</t>
  </si>
  <si>
    <t>FISICA  13/02/2017 18/12/2020</t>
  </si>
  <si>
    <t>COMERCIO EXTERIOR  05/02/2018 18/12/2020</t>
  </si>
  <si>
    <t>ELETROTECNICA INDUSTRIAL  05/02/2018 09/07/2021</t>
  </si>
  <si>
    <t>FISICA  05/02/2018 17/12/2021</t>
  </si>
  <si>
    <t>TECNICO EM INFORMATICA INTEGRADO 04/02/2019 17/12/2021</t>
  </si>
  <si>
    <t>TECNICO EM CONTROLE AMBIENTAL INTEGRADO 04/02/2019 17/12/2021</t>
  </si>
  <si>
    <t>REDES DE COMPUTADORES  04/02/2019 17/12/2021</t>
  </si>
  <si>
    <t>COMERCIO EXTERIOR  04/02/2019 17/12/2021</t>
  </si>
  <si>
    <t>ELETROTECNICA INDUSTRIAL  04/02/2019 15/07/2022</t>
  </si>
  <si>
    <t>FISICA  04/02/2019 23/12/2022</t>
  </si>
  <si>
    <t>ESPECIALIZACAO - DESENVOLVIMENTO EDUCACIONAL E SOCIAL  04/10/2019 30/11/2020</t>
  </si>
  <si>
    <t>ADMINISTRACAO  03/02/2020 22/12/2023</t>
  </si>
  <si>
    <t>TECNICO EM INFORMATICA INTEGRADO 03/02/2020 16/12/2022</t>
  </si>
  <si>
    <t>TECNICO EM CONTROLE AMBIENTAL INTEGRADO 03/02/2020 16/12/2022</t>
  </si>
  <si>
    <t>TECNICO EM ADMINISTRACAO INTEGRADO 03/02/2020 16/12/2022</t>
  </si>
  <si>
    <t>ELETROTECNICA INDUSTRIAL  03/02/2020 14/07/2023</t>
  </si>
  <si>
    <t>FISICA  03/02/2020 22/12/2023</t>
  </si>
  <si>
    <t>REDES DE COMPUTADORES  03/02/2020 16/12/2022</t>
  </si>
  <si>
    <t>TECNICO EM CONTROLE AMBIENTAL INTEGRADO 05/04/2021 22/12/2023</t>
  </si>
  <si>
    <t>TECNICO EM ADMINISTRACAO INTEGRADO 05/04/2021 22/12/2023</t>
  </si>
  <si>
    <t>TECNICO EM INFORMATICA INTEGRADO 05/04/2021 22/12/2023</t>
  </si>
  <si>
    <t>REDES DE COMPUTADORES  05/04/2021 22/12/2023</t>
  </si>
  <si>
    <t>ELETROTECNICA INDUSTRIAL  05/04/2021 12/07/2024</t>
  </si>
  <si>
    <t>ADMINISTRACAO  05/04/2021 28/03/2025</t>
  </si>
  <si>
    <t>FISICA  05/04/2021 20/12/2024</t>
  </si>
  <si>
    <t>TECNICO EM QUIMICA SUBSEQUENTE 18/10/2021 20/10/2023</t>
  </si>
  <si>
    <t>TECNICO EM ADMINISTRACAO INTEGRADO 07/02/2022 20/12/2024</t>
  </si>
  <si>
    <t>TECNICO EM CONTROLE AMBIENTAL INTEGRADO 07/02/2022 20/12/2024</t>
  </si>
  <si>
    <t>TECNICO EM INFORMATICA INTEGRADO 07/02/2022 20/12/2024</t>
  </si>
  <si>
    <t>FISICA  07/02/2022 19/12/2025</t>
  </si>
  <si>
    <t>ELETROTECNICA INDUSTRIAL  07/02/2022 18/07/2025</t>
  </si>
  <si>
    <t>SISTEMAS DE INFORMACAO</t>
  </si>
  <si>
    <t>SISTEMAS DE INFORMACAO  01/03/2022 31/12/2025</t>
  </si>
  <si>
    <t>LINGUA BRASILEIRA DE SINAIS (LIBRAS) ­ INTERMEDIARIO</t>
  </si>
  <si>
    <t>LINGUA BRASILEIRA DE SINAIS (LIBRAS) ­ INTERMEDIARIO  04/03/2022 30/07/2022</t>
  </si>
  <si>
    <t>TECNICO EM INFORMATICA INTEGRADO 06/02/2023 19/12/2025</t>
  </si>
  <si>
    <t>TECNICO EM CONTROLE AMBIENTAL INTEGRADO 06/02/2023 19/12/2025</t>
  </si>
  <si>
    <t>TECNICO EM ADMINISTRACAO INTEGRADO 06/02/2023 19/12/2025</t>
  </si>
  <si>
    <t>SISTEMAS DE INFORMACAO  06/02/2023 31/12/2026</t>
  </si>
  <si>
    <t>ADMINISTRACAO  06/02/2023 31/12/2026</t>
  </si>
  <si>
    <t>ENGENHARIA ELETRICA  06/02/2023 31/12/2027</t>
  </si>
  <si>
    <t>LINGUA BRASILEIRA DE SINAIS (LIBRAS) ­ BASICO</t>
  </si>
  <si>
    <t>LINGUA BRASILEIRA DE SINAIS (LIBRAS) ­ BASICO PROEJA - CONCOMITANTE 11/03/2023 01/07/2023</t>
  </si>
  <si>
    <t>ELETRICISTA INSTALADOR PREDIAL DE BAIXA TENSAO</t>
  </si>
  <si>
    <t>ELETRICISTA INSTALADOR PREDIAL DE BAIXA TENSAO PROEJA - CONCOMITANTE 11/03/2023 01/07/2023</t>
  </si>
  <si>
    <t>TECNICO EM INFRAESTRUTURA ESCOLAR SUBSEQUENTE 01/04/2023 31/10/2024</t>
  </si>
  <si>
    <t>TECNICO EM ALIMENTACAO ESCOLAR SUBSEQUENTE 01/04/2023 31/10/2024</t>
  </si>
  <si>
    <t>TECNICO EM SECRETARIA ESCOLAR SUBSEQUENTE 01/04/2023 31/10/2024</t>
  </si>
  <si>
    <t>TECNICO EM ADMINISTRACAO CONCOMITANTE 01/09/2023 31/12/2025</t>
  </si>
  <si>
    <t>ENGENHARIA DE CONTROLE E AUTOMACAO  02/02/2015 20/12/2019</t>
  </si>
  <si>
    <t>ENGENHARIA DE CONTROLE E AUTOMACAO  21/03/2016 20/12/2020</t>
  </si>
  <si>
    <t>ANALISE E DESENVOLVIMENTO DE SISTEMAS</t>
  </si>
  <si>
    <t>ANALISE E DESENVOLVIMENTO DE SISTEMAS  23/04/2016 21/12/2018</t>
  </si>
  <si>
    <t>ENGENHARIA DE CONTROLE E AUTOMACAO  03/04/2017 22/12/2021</t>
  </si>
  <si>
    <t>ANALISE E DESENVOLVIMENTO DE SISTEMAS  03/04/2017 22/12/2019</t>
  </si>
  <si>
    <t>QUIMICA  03/04/2017 22/12/2020</t>
  </si>
  <si>
    <t>TECNICO EM INFORMATICA INTEGRADO 05/02/2018 23/12/2020</t>
  </si>
  <si>
    <t>TECNICO EM ELETROMECANICA INTEGRADO 05/02/2018 23/12/2020</t>
  </si>
  <si>
    <t>ENGENHARIA DE CONTROLE E AUTOMACAO  20/03/2018 23/12/2022</t>
  </si>
  <si>
    <t>ANALISE E DESENVOLVIMENTO DE SISTEMAS  20/03/2018 23/12/2020</t>
  </si>
  <si>
    <t>TECNICO EM ELETROTECNICA SUBSEQUENTE 20/03/2018 23/12/2019</t>
  </si>
  <si>
    <t>QUIMICA  23/03/2018 23/12/2021</t>
  </si>
  <si>
    <t>TECNICO EM LOGISTICA</t>
  </si>
  <si>
    <t>TECNICO EM LOGISTICA INTEGRADO 04/02/2019 20/12/2021</t>
  </si>
  <si>
    <t>TECNICO EM ELETROTECNICA INTEGRADO 04/02/2019 23/12/2021</t>
  </si>
  <si>
    <t>ENGENHARIA DE CONTROLE E AUTOMACAO  04/02/2019 22/12/2023</t>
  </si>
  <si>
    <t>ANALISE E DESENVOLVIMENTO DE SISTEMAS  04/02/2019 23/12/2021</t>
  </si>
  <si>
    <t>QUIMICA  04/02/2019 22/12/2022</t>
  </si>
  <si>
    <t>ENGENHARIA DE CONTROLE E AUTOMACAO  03/02/2020 20/12/2024</t>
  </si>
  <si>
    <t>ANALISE E DESENVOLVIMENTO DE SISTEMAS  03/02/2020 20/12/2022</t>
  </si>
  <si>
    <t>QUIMICA  03/02/2020 20/12/2023</t>
  </si>
  <si>
    <t>TECNICO EM INFORMATICA INTEGRADO 03/02/2020 31/12/2022</t>
  </si>
  <si>
    <t>TECNICO EM ELETROTECNICA INTEGRADO 03/02/2020 31/12/2022</t>
  </si>
  <si>
    <t>TECNICO EM LOGISTICA INTEGRADO 03/02/2020 31/12/2022</t>
  </si>
  <si>
    <t>TECNICO EM ELETROTECNICA SUBSEQUENTE 03/02/2020 31/12/2021</t>
  </si>
  <si>
    <t>TECNICO EM ELETROMECANICA INTEGRADO 03/02/2021 23/12/2023</t>
  </si>
  <si>
    <t>TECNICO EM ELETROTECNICA INTEGRADO 03/02/2021 23/12/2023</t>
  </si>
  <si>
    <t>TECNICO EM LOGISTICA INTEGRADO 03/02/2021 23/12/2023</t>
  </si>
  <si>
    <t>TECNICO EM MANUTENCAO DE AERONAUTICA EM CELULA</t>
  </si>
  <si>
    <t>TECNICO EM MANUTENCAO DE AERONAUTICA EM CELULA SUBSEQUENTE 01/03/2021 23/12/2022</t>
  </si>
  <si>
    <t>TECNICO EM INFORMATICA INTEGRADO 03/03/2021 23/12/2023</t>
  </si>
  <si>
    <t>ENGENHARIA DE CONTROLE E AUTOMACAO  03/03/2021 22/03/2025</t>
  </si>
  <si>
    <t>QUIMICA  03/03/2021 23/03/2024</t>
  </si>
  <si>
    <t>ANALISE E DESENVOLVIMENTO DE SISTEMAS  03/03/2021 25/03/2023</t>
  </si>
  <si>
    <t>TECNICO EM INFORMATICA INTEGRADO 01/02/2022 23/12/2024</t>
  </si>
  <si>
    <t>TECNICO EM ELETROTECNICA INTEGRADO 01/02/2022 23/12/2024</t>
  </si>
  <si>
    <t>TECNICO EM ELETROMECANICA INTEGRADO 01/02/2022 23/12/2024</t>
  </si>
  <si>
    <t>TECNICO EM LOGISTICA INTEGRADO 01/02/2022 23/12/2024</t>
  </si>
  <si>
    <t>TECNICO EM MANUTENCAO DE AERONAUTICA EM CELULA SUBSEQUENTE 01/02/2022 23/12/2023</t>
  </si>
  <si>
    <t>QUIMICA  01/02/2022 23/12/2025</t>
  </si>
  <si>
    <t>ANALISE E DESENVOLVIMENTO DE SISTEMAS  01/02/2022 23/12/2024</t>
  </si>
  <si>
    <t>ENGENHARIA DE CONTROLE E AUTOMACAO  01/02/2022 23/12/2026</t>
  </si>
  <si>
    <t>TECNICO EM ELETROTECNICA SUBSEQUENTE 01/02/2022 23/12/2023</t>
  </si>
  <si>
    <t>TECNICO EM ELETROMECANICA INTEGRADO 01/02/2023 22/12/2025</t>
  </si>
  <si>
    <t>TECNICO EM INFORMATICA INTEGRADO 01/02/2023 22/12/2025</t>
  </si>
  <si>
    <t>TECNICO EM ELETROTECNICA INTEGRADO 01/02/2023 22/12/2025</t>
  </si>
  <si>
    <t>TECNICO EM LOGISTICA INTEGRADO 01/02/2023 22/12/2025</t>
  </si>
  <si>
    <t>ANALISE E DESENVOLVIMENTO DE SISTEMAS  01/02/2023 22/12/2025</t>
  </si>
  <si>
    <t>ENGENHARIA DE CONTROLE E AUTOMACAO  01/02/2023 20/12/2027</t>
  </si>
  <si>
    <t>QUIMICA  01/02/2023 21/12/2026</t>
  </si>
  <si>
    <t>TECNICO EM MANUTENCAO DE AERONAUTICA EM CELULA SUBSEQUENTE 26/07/2023 04/07/2025</t>
  </si>
  <si>
    <t>TECNICO EM QUIMICA CONCOMITANTE 01/09/2023 31/12/2025</t>
  </si>
  <si>
    <t>FRESADOR MECANICO</t>
  </si>
  <si>
    <t>FRESADOR MECANICO  04/09/2023 15/12/2023</t>
  </si>
  <si>
    <t>TECNICO EM QUIMICA INTEGRADO 11/04/2016 11/04/2019</t>
  </si>
  <si>
    <t>ANALISE E DESENVOLVIMENTO DE SISTEMAS  11/04/2016 12/04/2019</t>
  </si>
  <si>
    <t>CIENCIAS DA NATUREZA  11/04/2016 09/04/2020</t>
  </si>
  <si>
    <t>TECNICO EM SECRETARIADO INTEGRADO 17/04/2017 17/04/2020</t>
  </si>
  <si>
    <t>CIENCIAS DA NATUREZA  15/05/2017 13/05/2021</t>
  </si>
  <si>
    <t>ANALISE E DESENVOLVIMENTO DE SISTEMAS  15/05/2017 15/05/2020</t>
  </si>
  <si>
    <t>TECNICO EM QUIMICA INTEGRADO 09/04/2018 09/04/2021</t>
  </si>
  <si>
    <t>ANALISE E DESENVOLVIMENTO DE SISTEMAS  14/05/2018 14/05/2021</t>
  </si>
  <si>
    <t>CIENCIAS DA NATUREZA  14/05/2018 12/05/2022</t>
  </si>
  <si>
    <t>TECNICO EM ADMINISTRACAO PROEJA - INTEGRADO 04/06/2018 04/06/2021</t>
  </si>
  <si>
    <t>TECNICO EM ALIMENTOS INTEGRADO 07/03/2019 07/03/2022</t>
  </si>
  <si>
    <t>TECNICO EM INFORMATICA INTEGRADO 07/03/2019 07/03/2022</t>
  </si>
  <si>
    <t>TECNICO EM QUIMICA INTEGRADO 07/03/2019 07/03/2022</t>
  </si>
  <si>
    <t>TECNICO EM SECRETARIADO INTEGRADO 07/03/2019 07/03/2022</t>
  </si>
  <si>
    <t>TECNICO EM ADMINISTRACAO PROEJA - INTEGRADO 07/03/2019 07/03/2022</t>
  </si>
  <si>
    <t>TECNICO EM QUIMICA SUBSEQUENTE 07/03/2019 07/09/2020</t>
  </si>
  <si>
    <t>CIENCIAS DA NATUREZA  07/03/2019 05/03/2023</t>
  </si>
  <si>
    <t>ANALISE E DESENVOLVIMENTO DE SISTEMAS  07/03/2019 07/03/2022</t>
  </si>
  <si>
    <t>TECNICO EM SECRETARIADO INTEGRADO 10/02/2020 10/02/2023</t>
  </si>
  <si>
    <t>TECNICO EM ALIMENTOS INTEGRADO 10/02/2020 10/02/2023</t>
  </si>
  <si>
    <t>TECNICO EM QUIMICA INTEGRADO 10/02/2020 10/02/2023</t>
  </si>
  <si>
    <t>TECNICO EM INFORMATICA INTEGRADO 10/02/2020 10/02/2023</t>
  </si>
  <si>
    <t>TECNICO EM ADMINISTRACAO PROEJA - INTEGRADO 10/02/2020 10/02/2023</t>
  </si>
  <si>
    <t>ANALISE E DESENVOLVIMENTO DE SISTEMAS  10/02/2020 10/02/2023</t>
  </si>
  <si>
    <t>CIENCIAS DA NATUREZA  10/02/2020 08/02/2024</t>
  </si>
  <si>
    <t>TECNICO EM ALIMENTOS INTEGRADO 01/03/2021 01/03/2024</t>
  </si>
  <si>
    <t>TECNICO EM INFORMATICA INTEGRADO 01/03/2021 01/03/2024</t>
  </si>
  <si>
    <t>TECNICO EM SECRETARIADO INTEGRADO 01/03/2021 01/03/2024</t>
  </si>
  <si>
    <t>TECNICO EM QUIMICA INTEGRADO 01/03/2021 01/03/2024</t>
  </si>
  <si>
    <t>TECNICO EM ADMINISTRACAO PROEJA - INTEGRADO 01/03/2021 01/03/2024</t>
  </si>
  <si>
    <t>ANALISE E DESENVOLVIMENTO DE SISTEMAS  01/03/2021 01/03/2024</t>
  </si>
  <si>
    <t>CIENCIAS DA NATUREZA  01/03/2021 27/02/2025</t>
  </si>
  <si>
    <t>TECNICO EM QUIMICA SUBSEQUENTE 02/08/2021 02/02/2023</t>
  </si>
  <si>
    <t>TECNICO EM QUIMICA INTEGRADO 01/02/2022 31/03/2025</t>
  </si>
  <si>
    <t>TECNICO EM SECRETARIADO INTEGRADO 10/02/2022 10/02/2025</t>
  </si>
  <si>
    <t>TECNICO EM ALIMENTOS INTEGRADO 10/02/2022 10/03/2025</t>
  </si>
  <si>
    <t>TECNICO EM INFORMATICA INTEGRADO 10/02/2022 10/02/2025</t>
  </si>
  <si>
    <t>ANALISE E DESENVOLVIMENTO DE SISTEMAS  10/02/2022 10/02/2025</t>
  </si>
  <si>
    <t>CIENCIAS DA NATUREZA  10/02/2022 08/02/2026</t>
  </si>
  <si>
    <t>QUALIFICACAO PROFISSIONAL - GESTAO E NEGOCIOS INTEGRADO 02/08/2022 20/12/2022</t>
  </si>
  <si>
    <t>TECNICO EM ALIMENTOS INTEGRADO 09/02/2023 09/02/2026</t>
  </si>
  <si>
    <t>TECNICO EM INFORMATICA INTEGRADO 09/02/2023 09/02/2026</t>
  </si>
  <si>
    <t>TECNICO EM SECRETARIADO INTEGRADO 09/02/2023 09/02/2026</t>
  </si>
  <si>
    <t>TECNICO EM QUIMICA INTEGRADO 09/02/2023 09/02/2026</t>
  </si>
  <si>
    <t>CIENCIAS DA NATUREZA  09/02/2023 01/02/2027</t>
  </si>
  <si>
    <t>ANALISE E DESENVOLVIMENTO DE SISTEMAS  09/02/2023 09/02/2026</t>
  </si>
  <si>
    <t>TECNICO EM QUIMICA SUBSEQUENTE 09/02/2023 09/08/2024</t>
  </si>
  <si>
    <t>TECNICO EM MULTIMEIOS DIDATICOS SUBSEQUENTE 03/04/2023 31/05/2024</t>
  </si>
  <si>
    <t>QUALIFICACAO PROFISSIONAL - GESTAO E NEGOCIOS  03/04/2023 31/08/2023</t>
  </si>
  <si>
    <t>INGLES BASICO</t>
  </si>
  <si>
    <t>INGLES BASICO  04/04/2023 07/07/2023</t>
  </si>
  <si>
    <t>INGLES BASICO  01/08/2023 22/12/2023</t>
  </si>
  <si>
    <t>ZOOTECNIA  01/02/2010 27/06/2014</t>
  </si>
  <si>
    <t>AGRONOMIA  14/02/2011 11/12/2015</t>
  </si>
  <si>
    <t>ANALISE E DESENVOLVIMENTO DE SISTEMAS  21/02/2011 20/12/2013</t>
  </si>
  <si>
    <t>AGRONOMIA  07/05/2012 23/12/2016</t>
  </si>
  <si>
    <t>ZOOTECNIA  08/05/2012 23/12/2016</t>
  </si>
  <si>
    <t>AGRONOMIA  05/05/2014 20/12/2018</t>
  </si>
  <si>
    <t>ZOOTECNIA  26/05/2014 30/05/2018</t>
  </si>
  <si>
    <t>ANALISE E DESENVOLVIMENTO DE SISTEMAS  23/03/2015 22/12/2017</t>
  </si>
  <si>
    <t>AGRONOMIA  23/03/2015 20/12/2019</t>
  </si>
  <si>
    <t>ZOOTECNIA  23/03/2015 20/12/2019</t>
  </si>
  <si>
    <t>ZOOTECNIA  25/04/2016 21/12/2020</t>
  </si>
  <si>
    <t>TECNICO EM AGROPECUARIA INTEGRADO 25/04/2016 21/12/2018</t>
  </si>
  <si>
    <t>AGRONOMIA  25/04/2016 19/12/2020</t>
  </si>
  <si>
    <t>ANALISE E DESENVOLVIMENTO DE SISTEMAS  25/04/2016 22/12/2018</t>
  </si>
  <si>
    <t>TECNICO EM AGROPECUARIA INTEGRADO 06/03/2017 27/12/2019</t>
  </si>
  <si>
    <t>ZOOTECNIA  20/03/2017 17/12/2021</t>
  </si>
  <si>
    <t>CIENCIAS DA NATUREZA  20/03/2017 31/12/2020</t>
  </si>
  <si>
    <t>AGRONOMIA  20/03/2017 23/12/2021</t>
  </si>
  <si>
    <t>ANALISE E DESENVOLVIMENTO DE SISTEMAS  20/03/2017 20/12/2019</t>
  </si>
  <si>
    <t>ZOOTECNIA  05/03/2018 23/12/2022</t>
  </si>
  <si>
    <t>CIENCIAS DA NATUREZA  05/03/2018 31/12/2021</t>
  </si>
  <si>
    <t>TECNICO EM AGROPECUARIA INTEGRADO 05/03/2018 18/12/2020</t>
  </si>
  <si>
    <t>ANALISE E DESENVOLVIMENTO DE SISTEMAS  05/03/2018 22/12/2020</t>
  </si>
  <si>
    <t>AGRONOMIA  05/03/2018 21/12/2022</t>
  </si>
  <si>
    <t>CIENCIAS DA NATUREZA  11/02/2019 31/12/2022</t>
  </si>
  <si>
    <t>AGRONOMIA  11/02/2019 20/12/2023</t>
  </si>
  <si>
    <t>ANALISE E DESENVOLVIMENTO DE SISTEMAS  11/02/2019 20/12/2021</t>
  </si>
  <si>
    <t>TECNICO EM AGROPECUARIA INTEGRADO 11/02/2019 17/12/2021</t>
  </si>
  <si>
    <t>ZOOTECNIA  11/02/2019 22/12/2023</t>
  </si>
  <si>
    <t>ANALISE E DESENVOLVIMENTO DE SISTEMAS  03/02/2020 16/12/2022</t>
  </si>
  <si>
    <t>AGRONOMIA  03/02/2020 20/12/2024</t>
  </si>
  <si>
    <t>TECNICO EM MEIO AMBIENTE INTEGRADO 03/02/2020 31/12/2022</t>
  </si>
  <si>
    <t>ZOOTECNIA  03/02/2020 20/12/2024</t>
  </si>
  <si>
    <t>TECNICO EM AGROPECUARIA INTEGRADO 03/02/2020 20/12/2022</t>
  </si>
  <si>
    <t>TECNICO EM MEIO AMBIENTE INTEGRADO 29/03/2021 31/12/2023</t>
  </si>
  <si>
    <t>CIENCIAS DA NATUREZA  29/03/2021 31/12/2024</t>
  </si>
  <si>
    <t>TECNICO EM BRINQUEDOTECA SUBSEQUENTE 29/03/2021 31/12/2022</t>
  </si>
  <si>
    <t>ANALISE E DESENVOLVIMENTO DE SISTEMAS  29/03/2021 15/12/2023</t>
  </si>
  <si>
    <t>AGRONOMIA  29/03/2021 10/07/2025</t>
  </si>
  <si>
    <t>AGRONOMIA  29/03/2021 15/12/2025</t>
  </si>
  <si>
    <t>ZOOTECNIA  29/03/2021 19/12/2025</t>
  </si>
  <si>
    <t>TECNICO EM AGROPECUARIA INTEGRADO 29/03/2021 22/12/2023</t>
  </si>
  <si>
    <t>ANALISE E DESENVOLVIMENTO DE SISTEMAS  07/02/2022 13/12/2024</t>
  </si>
  <si>
    <t>AGRONOMIA  07/02/2022 18/07/2026</t>
  </si>
  <si>
    <t>AGRONOMIA  07/02/2022 19/12/2026</t>
  </si>
  <si>
    <t>ZOOTECNIA  07/02/2022 31/07/2026</t>
  </si>
  <si>
    <t>TECNICO EM AGROPECUARIA INTEGRADO 07/02/2022 29/12/2024</t>
  </si>
  <si>
    <t>CIENCIAS DA NATUREZA  07/02/2022 31/12/2025</t>
  </si>
  <si>
    <t>TECNICO EM BRINQUEDOTECA SUBSEQUENTE 11/02/2022 31/07/2023</t>
  </si>
  <si>
    <t>TECNICO EM AGROPECUARIA INTEGRADO 30/01/2023 29/12/2025</t>
  </si>
  <si>
    <t>ZOOTECNIA  30/01/2023 29/12/2027</t>
  </si>
  <si>
    <t>CIENCIAS DA NATUREZA  30/01/2023 31/12/2026</t>
  </si>
  <si>
    <t>TECNICO EM MEIO AMBIENTE INTEGRADO 30/01/2023 31/12/2025</t>
  </si>
  <si>
    <t>AGRONOMIA  30/01/2023 30/07/2027</t>
  </si>
  <si>
    <t>AGRONOMIA  30/01/2023 29/12/2027</t>
  </si>
  <si>
    <t>ANALISE E DESENVOLVIMENTO DE SISTEMAS  30/01/2023 29/12/2025</t>
  </si>
  <si>
    <t>TECNICO EM BRINQUEDOTECA SUBSEQUENTE 03/02/2023 30/06/2024</t>
  </si>
  <si>
    <t>TECNICO EM INFORMATICA INTEGRADO 08/02/2023 26/12/2025</t>
  </si>
  <si>
    <t>MEDIOTEC</t>
  </si>
  <si>
    <t>TECNICO EM BRINQUEDOTECA CONCOMITANTE 01/12/2023 31/12/2025</t>
  </si>
  <si>
    <t>TECNICO EM MEIO AMBIENTE CONCOMITANTE 31/12/2023 31/12/2025</t>
  </si>
  <si>
    <t>GESTAO AMBIENTAL  05/03/2012 19/12/2014</t>
  </si>
  <si>
    <t>GESTAO AMBIENTAL  06/02/2014 31/12/2016</t>
  </si>
  <si>
    <t>GESTAO AMBIENTAL  02/02/2015 22/12/2017</t>
  </si>
  <si>
    <t>ENGENHARIA AGRONOMICA</t>
  </si>
  <si>
    <t>ENGENHARIA AGRONOMICA  02/02/2015 20/12/2019</t>
  </si>
  <si>
    <t>PRODUCAO DE GRAOS</t>
  </si>
  <si>
    <t>PRODUCAO DE GRAOS  03/08/2015 02/07/2018</t>
  </si>
  <si>
    <t>TECNICO EM AGROPECUARIA INTEGRADO 21/03/2016 21/12/2018</t>
  </si>
  <si>
    <t>PRODUCAO DE GRAOS  21/03/2016 21/12/2018</t>
  </si>
  <si>
    <t>ENGENHARIA AGRONOMICA  21/03/2016 20/12/2020</t>
  </si>
  <si>
    <t>GESTAO AMBIENTAL  21/03/2016 21/12/2018</t>
  </si>
  <si>
    <t>ENGENHARIA AGRONOMICA  06/02/2017 23/12/2021</t>
  </si>
  <si>
    <t>GESTAO AMBIENTAL  06/02/2017 23/12/2019</t>
  </si>
  <si>
    <t>PRODUCAO DE GRAOS  06/02/2017 23/12/2019</t>
  </si>
  <si>
    <t>TECNICO EM ALIMENTOS INTEGRADO 06/02/2017 23/12/2019</t>
  </si>
  <si>
    <t>TECNICO EM AGROPECUARIA INTEGRADO 05/02/2018 23/12/2020</t>
  </si>
  <si>
    <t>TECNICO EM ALIMENTOS INTEGRADO 05/02/2018 23/12/2020</t>
  </si>
  <si>
    <t>PRODUCAO DE GRAOS  05/02/2018 23/12/2020</t>
  </si>
  <si>
    <t>GESTAO AMBIENTAL  05/02/2018 23/12/2020</t>
  </si>
  <si>
    <t>ENGENHARIA AGRONOMICA  05/02/2018 23/12/2022</t>
  </si>
  <si>
    <t>ESPECIALIZACAO - DESENVOLVIMENTO EDUCACIONAL E SOCIAL  15/06/2018 10/12/2019</t>
  </si>
  <si>
    <t>ESPECIALIZACAO - AMBIENTE E SAUDE</t>
  </si>
  <si>
    <t>ESPECIALIZACAO - AMBIENTE E SAUDE  30/08/2018 28/02/2020</t>
  </si>
  <si>
    <t>TECNICO EM AGROPECUARIA INTEGRADO 04/02/2019 20/12/2021</t>
  </si>
  <si>
    <t>TECNICO EM ALIMENTOS INTEGRADO 04/02/2019 20/12/2021</t>
  </si>
  <si>
    <t>ENGENHARIA AGRONOMICA  04/02/2019 20/12/2023</t>
  </si>
  <si>
    <t>PRODUCAO DE GRAOS  04/02/2019 20/12/2021</t>
  </si>
  <si>
    <t>GESTAO AMBIENTAL  04/02/2019 20/12/2021</t>
  </si>
  <si>
    <t>TECNICO EM ALIMENTOS INTEGRADO 03/02/2020 20/12/2022</t>
  </si>
  <si>
    <t>ENGENHARIA AGRONOMICA  03/02/2020 20/12/2024</t>
  </si>
  <si>
    <t>PRODUCAO DE GRAOS  03/02/2020 20/12/2022</t>
  </si>
  <si>
    <t>GESTAO AMBIENTAL  03/02/2020 20/12/2022</t>
  </si>
  <si>
    <t>TECNICO EM AGROPECUARIA SUBSEQUENTE 18/09/2020 16/09/2022</t>
  </si>
  <si>
    <t>TECNICO EM AGROPECUARIA INTEGRADO 22/03/2021 20/12/2023</t>
  </si>
  <si>
    <t>TECNICO EM ALIMENTOS INTEGRADO 22/03/2021 20/12/2023</t>
  </si>
  <si>
    <t>ENGENHARIA AGRONOMICA  22/03/2021 20/12/2025</t>
  </si>
  <si>
    <t>GESTAO AMBIENTAL  22/03/2021 20/12/2023</t>
  </si>
  <si>
    <t>PRODUCAO DE GRAOS  22/03/2021 20/12/2023</t>
  </si>
  <si>
    <t>TECNICO EM AGROPECUARIA SUBSEQUENTE 06/11/2021 04/11/2023</t>
  </si>
  <si>
    <t>TECNICO EM AGROPECUARIA INTEGRADO 01/02/2022 16/12/2024</t>
  </si>
  <si>
    <t>TECNICO EM ALIMENTOS INTEGRADO 01/02/2022 16/12/2024</t>
  </si>
  <si>
    <t>GESTAO AMBIENTAL  01/02/2022 16/12/2024</t>
  </si>
  <si>
    <t>PRODUCAO DE GRAOS  01/02/2022 16/12/2024</t>
  </si>
  <si>
    <t>ENGENHARIA AGRONOMICA  01/02/2022 16/12/2026</t>
  </si>
  <si>
    <t>LINGUA BRASILEIRA DE SINAIS (LIBRAS) ­ BASICO  30/09/2022 29/09/2023</t>
  </si>
  <si>
    <t>TECNICO EM AGROPECUARIA INTEGRADO 30/01/2023 22/12/2025</t>
  </si>
  <si>
    <t>TECNICO EM ALIMENTOS INTEGRADO 30/01/2023 22/12/2025</t>
  </si>
  <si>
    <t>GESTAO AMBIENTAL  30/01/2023 22/12/2025</t>
  </si>
  <si>
    <t>PRODUCAO DE GRAOS  30/01/2023 22/12/2025</t>
  </si>
  <si>
    <t>ENGENHARIA AGRONOMICA  30/01/2023 22/12/2027</t>
  </si>
  <si>
    <t>ESPECIALIZACAO - DESENVOLVIMENTO EDUCACIONAL E SOCIAL  17/03/2023 20/09/2024</t>
  </si>
  <si>
    <t>ESPECIALIZACAO - AMBIENTE E SAUDE  17/03/2023 20/09/2024</t>
  </si>
  <si>
    <t>TECNICO EM MANUTENCAO E SUPORTE EM INFORMATICA INTEGRADO 04/02/2019 22/12/2021</t>
  </si>
  <si>
    <t>GESTAO DE RECURSOS HUMANOS  04/02/2019 09/07/2021</t>
  </si>
  <si>
    <t>GESTAO DE RECURSOS HUMANOS  04/02/2019 16/07/2021</t>
  </si>
  <si>
    <t>TECNICO EM MANUTENCAO E SUPORTE EM INFORMATICA INTEGRADO 03/02/2020 16/12/2022</t>
  </si>
  <si>
    <t>TECNICO EM RECURSOS HUMANOS</t>
  </si>
  <si>
    <t>TECNICO EM RECURSOS HUMANOS INTEGRADO 03/02/2020 16/12/2022</t>
  </si>
  <si>
    <t>GESTAO DE RECURSOS HUMANOS  03/02/2020 15/07/2022</t>
  </si>
  <si>
    <t>GESTAO DE RECURSOS HUMANOS  10/02/2020 15/07/2022</t>
  </si>
  <si>
    <t>TECNICO EM MANUTENCAO E SUPORTE EM INFORMATICA INTEGRADO 15/03/2021 22/12/2023</t>
  </si>
  <si>
    <t>TECNICO EM RECURSOS HUMANOS INTEGRADO 15/03/2021 22/12/2023</t>
  </si>
  <si>
    <t>GESTAO DE RECURSOS HUMANOS  15/03/2021 21/07/2023</t>
  </si>
  <si>
    <t>GESTAO DE RECURSOS HUMANOS  22/07/2021 22/12/2023</t>
  </si>
  <si>
    <t>TECNICO EM MANUTENCAO E SUPORTE EM INFORMATICA INTEGRADO 07/02/2022 20/12/2024</t>
  </si>
  <si>
    <t>TECNICO EM RECURSOS HUMANOS INTEGRADO 07/02/2022 20/12/2024</t>
  </si>
  <si>
    <t>GESTAO DE RECURSOS HUMANOS  07/02/2022 12/07/2024</t>
  </si>
  <si>
    <t>ELETRICISTA DE SISTEMAS DE ENERGIAS RENOVAVEIS</t>
  </si>
  <si>
    <t>ELETRICISTA DE SISTEMAS DE ENERGIAS RENOVAVEIS CONCOMITANTE 25/05/2022 30/11/2022</t>
  </si>
  <si>
    <t>GESTAO DE RECURSOS HUMANOS  25/07/2022 20/12/2024</t>
  </si>
  <si>
    <t>ASSISTENTE ADMINISTRATIVO</t>
  </si>
  <si>
    <t>ASSISTENTE ADMINISTRATIVO CONCOMITANTE 27/07/2022 29/09/2022</t>
  </si>
  <si>
    <t>TECNICO EM MANUTENCAO E SUPORTE EM INFORMATICA INTEGRADO 06/02/2023 23/12/2025</t>
  </si>
  <si>
    <t>TECNICO EM RECURSOS HUMANOS INTEGRADO 06/02/2023 23/12/2025</t>
  </si>
  <si>
    <t>GESTAO DE RECURSOS HUMANOS  06/02/2023 11/07/2025</t>
  </si>
  <si>
    <t>TECNICO EM RECURSOS HUMANOS CONCOMITANTE 18/07/2023 24/12/2025</t>
  </si>
  <si>
    <t>TECNICO EM MANUTENCAO E SUPORTE EM INFORMATICA CONCOMITANTE 18/07/2023 24/12/2025</t>
  </si>
  <si>
    <t>TECNICO EM RECURSOS HUMANOS CONCOMITANTE 18/07/2023 23/12/2025</t>
  </si>
  <si>
    <t>GESTAO PUBLICA  25/08/2016 19/07/2019</t>
  </si>
  <si>
    <t>GESTAO PUBLICA  08/02/2017 20/12/2019</t>
  </si>
  <si>
    <t>GESTAO PUBLICA  24/07/2017 24/07/2020</t>
  </si>
  <si>
    <t>TECNICO EM DESENHO DE CONSTRUCAO CIVIL</t>
  </si>
  <si>
    <t>TECNICO EM DESENHO DE CONSTRUCAO CIVIL INTEGRADO 30/01/2018 20/12/2020</t>
  </si>
  <si>
    <t>GESTAO PUBLICA  01/02/2018 18/12/2020</t>
  </si>
  <si>
    <t>TECNICO EM DESENHO DE CONSTRUCAO CIVIL INTEGRADO 24/07/2018 01/07/2021</t>
  </si>
  <si>
    <t>TECNICO EM LOGISTICA INTEGRADO 24/07/2018 01/07/2021</t>
  </si>
  <si>
    <t>GESTAO PUBLICA  24/07/2018 01/07/2021</t>
  </si>
  <si>
    <t>TECNICO EM LOGISTICA INTEGRADO 28/01/2019 20/12/2021</t>
  </si>
  <si>
    <t>TECNICO EM DESENHO DE CONSTRUCAO CIVIL INTEGRADO 28/01/2019 20/12/2021</t>
  </si>
  <si>
    <t>GESTAO PUBLICA  29/01/2019 20/12/2021</t>
  </si>
  <si>
    <t>ESPECIALIZACAO - DESENVOLVIMENTO EDUCACIONAL E SOCIAL  12/07/2019 12/07/2021</t>
  </si>
  <si>
    <t>TECNICO EM DESENHO DE CONSTRUCAO CIVIL INTEGRADO 23/07/2019 07/07/2022</t>
  </si>
  <si>
    <t>TECNICO EM EDIFICACOES INTEGRADO 23/07/2019 05/07/2022</t>
  </si>
  <si>
    <t>TECNICO EM LOGISTICA INTEGRADO 23/07/2019 05/07/2022</t>
  </si>
  <si>
    <t>GESTAO PUBLICA  23/07/2019 05/07/2022</t>
  </si>
  <si>
    <t>TECNICO EM DESENHO DE CONSTRUCAO CIVIL INTEGRADO 03/02/2020 30/12/2022</t>
  </si>
  <si>
    <t>TECNICO EM EDIFICACOES INTEGRADO 03/02/2020 30/12/2022</t>
  </si>
  <si>
    <t>TECNICO EM LOGISTICA INTEGRADO 03/02/2020 30/12/2022</t>
  </si>
  <si>
    <t>TECNICO EM DESENHO DE CONSTRUCAO CIVIL INTEGRADO 26/10/2020 20/08/2023</t>
  </si>
  <si>
    <t>TECNICO EM EDIFICACOES INTEGRADO 26/10/2020 28/08/2023</t>
  </si>
  <si>
    <t>TECNICO EM LOGISTICA INTEGRADO 26/10/2020 20/08/2023</t>
  </si>
  <si>
    <t>GESTAO PUBLICA  26/10/2020 20/08/2023</t>
  </si>
  <si>
    <t>GESTAO PUBLICA  12/04/2021 12/05/2024</t>
  </si>
  <si>
    <t>TECNICO EM DESENHO DE CONSTRUCAO CIVIL INTEGRADO 12/04/2021 12/05/2024</t>
  </si>
  <si>
    <t>TECNICO EM EDIFICACOES INTEGRADO 12/04/2021 12/05/2024</t>
  </si>
  <si>
    <t>TECNICO EM LOGISTICA INTEGRADO 12/04/2021 12/05/2024</t>
  </si>
  <si>
    <t>GESTAO PUBLICA  30/08/2021 30/08/2024</t>
  </si>
  <si>
    <t>TECNICO EM DESENHO DE CONSTRUCAO CIVIL INTEGRADO 30/08/2021 30/07/2024</t>
  </si>
  <si>
    <t>TECNICO EM EDIFICACOES INTEGRADO 30/08/2021 30/07/2024</t>
  </si>
  <si>
    <t>TECNICO EM LOGISTICA INTEGRADO 30/08/2021 30/07/2024</t>
  </si>
  <si>
    <t>ESPECIALIZACAO - INFRAESTRUTURA</t>
  </si>
  <si>
    <t>ESPECIALIZACAO - INFRAESTRUTURA  31/01/2022 31/07/2023</t>
  </si>
  <si>
    <t>QUALIFICACAO PROFISSIONAL - DESENVOLVIMENTO EDUCACIONAL E SOCIAL  31/01/2022 08/07/2022</t>
  </si>
  <si>
    <t>TECNICO EM DESENHO DE CONSTRUCAO CIVIL INTEGRADO 31/01/2022 31/12/2024</t>
  </si>
  <si>
    <t>TECNICO EM LOGISTICA INTEGRADO 31/01/2022 31/12/2024</t>
  </si>
  <si>
    <t>GESTAO PUBLICA  31/01/2022 31/12/2024</t>
  </si>
  <si>
    <t>TECNICO EM EDIFICACOES INTEGRADO 31/01/2022 31/12/2024</t>
  </si>
  <si>
    <t>INGLES INTERMEDIARIO</t>
  </si>
  <si>
    <t>INGLES INTERMEDIARIO  24/02/2022 30/07/2022</t>
  </si>
  <si>
    <t>ASSISTENTE ADMINISTRATIVO  30/07/2022 17/12/2022</t>
  </si>
  <si>
    <t>GESTAO PUBLICA  01/08/2022 18/07/2025</t>
  </si>
  <si>
    <t>TECNICO EM DESENHO DE CONSTRUCAO CIVIL INTEGRADO 01/08/2022 18/07/2025</t>
  </si>
  <si>
    <t>TECNICO EM LOGISTICA INTEGRADO 01/08/2022 18/07/2025</t>
  </si>
  <si>
    <t>TECNICO EM EDIFICACOES INTEGRADO 01/08/2022 18/07/2025</t>
  </si>
  <si>
    <t>INGLES INTERMEDIARIO CONCOMITANTE 17/08/2022 17/12/2022</t>
  </si>
  <si>
    <t>TECNICO EM DESENHO DE CONSTRUCAO CIVIL INTEGRADO 31/01/2023 31/12/2025</t>
  </si>
  <si>
    <t>TECNICO EM EDIFICACOES INTEGRADO 31/01/2023 31/12/2025</t>
  </si>
  <si>
    <t>TECNICO EM LOGISTICA INTEGRADO 31/01/2023 31/12/2025</t>
  </si>
  <si>
    <t>GESTAO PUBLICA  31/01/2023 31/12/2025</t>
  </si>
  <si>
    <t>TECNICO EM INFRAESTRUTURA ESCOLAR SUBSEQUENTE 02/04/2023 31/10/2024</t>
  </si>
  <si>
    <t>QUALIFICACAO PROFISSIONAL - DESENVOLVIMENTO EDUCACIONAL E SOCIAL PROEJA - CONCOMITANTE 14/06/2023 16/10/2023</t>
  </si>
  <si>
    <t>GESTAO PUBLICA  31/07/2023 31/07/2026</t>
  </si>
  <si>
    <t>TECNICO EM DESENHO DE CONSTRUCAO CIVIL INTEGRADO 31/07/2023 31/07/2026</t>
  </si>
  <si>
    <t>TECNICO EM EDIFICACOES INTEGRADO 31/07/2023 31/07/2026</t>
  </si>
  <si>
    <t>TECNICO EM LOGISTICA INTEGRADO 31/07/2023 31/07/2026</t>
  </si>
  <si>
    <t>TECNICO EM DESENHO DE CONSTRUCAO CIVIL INTEGRADO 31/01/2024 31/01/2027</t>
  </si>
  <si>
    <t>TECNICO EM EDIFICACOES INTEGRADO 31/01/2024 31/01/2027</t>
  </si>
  <si>
    <t>TECNICO EM LOGISTICA INTEGRADO 31/01/2024 31/01/2027</t>
  </si>
  <si>
    <t>GESTAO PUBLICA  31/01/2024 31/01/2027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</si>
</sst>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_-;\-* #,##0.0_-;_-* &quot;-&quot;?_-;_-@_-"/>
    <numFmt numFmtId="165" formatCode="_-* #,##0.0000_-;\-* #,##0.0000_-;_-* &quot;-&quot;????_-;_-@_-"/>
    <numFmt numFmtId="166" formatCode="#,##0.0000"/>
    <numFmt numFmtId="167" formatCode="0.0000"/>
  </numFmts>
  <fonts count="8" x14ac:knownFonts="1">
    <font>
      <sz val="11"/>
      <color rgb="FF000000"/>
      <name val="Calibri"/>
    </font>
    <font>
      <u/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A5A5A5"/>
      <name val="Calibri"/>
      <family val="2"/>
    </font>
    <font>
      <sz val="11"/>
      <color rgb="FFA5A5A5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A5A5A5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7F7F7F"/>
        <bgColor rgb="FFFF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dotted">
        <color rgb="FF000000"/>
      </top>
      <bottom style="thick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</borders>
  <cellStyleXfs count="1">
    <xf numFmtId="0" fontId="0" fillId="0" borderId="0"/>
  </cellStyleXfs>
  <cellXfs count="54">
    <xf numFmtId="0" fontId="0" fillId="2" borderId="0" xfId="0" applyFill="1"/>
    <xf numFmtId="0" fontId="0" fillId="2" borderId="0" xfId="0" applyFill="1"/>
    <xf numFmtId="164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horizontal="center"/>
    </xf>
    <xf numFmtId="166" fontId="0" fillId="2" borderId="0" xfId="0" applyNumberFormat="1" applyFill="1"/>
    <xf numFmtId="14" fontId="0" fillId="2" borderId="0" xfId="0" applyNumberFormat="1" applyFill="1"/>
    <xf numFmtId="167" fontId="0" fillId="2" borderId="0" xfId="0" applyNumberFormat="1" applyFill="1"/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horizontal="center" vertical="center" wrapText="1" shrinkToFit="1"/>
    </xf>
    <xf numFmtId="164" fontId="1" fillId="2" borderId="0" xfId="0" applyNumberFormat="1" applyFont="1" applyFill="1"/>
    <xf numFmtId="0" fontId="0" fillId="3" borderId="0" xfId="0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 shrinkToFit="1"/>
    </xf>
    <xf numFmtId="0" fontId="4" fillId="5" borderId="2" xfId="0" applyFont="1" applyFill="1" applyBorder="1" applyAlignment="1">
      <alignment horizontal="center" vertical="center" wrapText="1" shrinkToFi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164" fontId="0" fillId="6" borderId="9" xfId="0" applyNumberForma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/>
    <xf numFmtId="0" fontId="0" fillId="6" borderId="9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2" borderId="0" xfId="0" applyFill="1"/>
    <xf numFmtId="0" fontId="0" fillId="2" borderId="0" xfId="0" applyFill="1"/>
    <xf numFmtId="0" fontId="0" fillId="6" borderId="7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0" fillId="7" borderId="0" xfId="0" applyFill="1"/>
    <xf numFmtId="14" fontId="0" fillId="7" borderId="0" xfId="0" applyNumberFormat="1" applyFill="1"/>
    <xf numFmtId="166" fontId="0" fillId="7" borderId="0" xfId="0" applyNumberFormat="1" applyFill="1"/>
    <xf numFmtId="165" fontId="0" fillId="7" borderId="0" xfId="0" applyNumberFormat="1" applyFill="1"/>
    <xf numFmtId="0" fontId="0" fillId="3" borderId="0" xfId="0" applyFill="1" applyAlignment="1">
      <alignment horizontal="center"/>
    </xf>
    <xf numFmtId="0" fontId="5" fillId="6" borderId="10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66675</xdr:rowOff>
    </xdr:from>
    <xdr:ext cx="2047875" cy="571500"/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76200</xdr:rowOff>
    </xdr:from>
    <xdr:ext cx="2047875" cy="571500"/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opLeftCell="A2" workbookViewId="0">
      <selection activeCell="D21" sqref="D21"/>
    </sheetView>
  </sheetViews>
  <sheetFormatPr defaultColWidth="0" defaultRowHeight="15" x14ac:dyDescent="0.25"/>
  <cols>
    <col min="1" max="1" width="10.5703125" style="1" customWidth="1"/>
    <col min="2" max="2" width="17.28515625" style="1" customWidth="1"/>
    <col min="3" max="3" width="12.5703125" style="1" customWidth="1"/>
    <col min="4" max="4" width="80.7109375" style="1" customWidth="1"/>
    <col min="5" max="7" width="20.5703125" style="38" customWidth="1"/>
    <col min="8" max="9" width="20.5703125" style="44" customWidth="1"/>
    <col min="10" max="10" width="20.5703125" style="38" customWidth="1"/>
    <col min="11" max="11" width="20.5703125" style="39" customWidth="1"/>
    <col min="12" max="12" width="20.5703125" style="2" customWidth="1"/>
    <col min="13" max="15" width="20.5703125" style="4" customWidth="1"/>
    <col min="16" max="16" width="9.140625" style="1" hidden="1" customWidth="1"/>
  </cols>
  <sheetData>
    <row r="1" spans="1:15" ht="31.5" hidden="1" customHeight="1" x14ac:dyDescent="0.25">
      <c r="A1" s="3" t="s">
        <v>0</v>
      </c>
      <c r="B1" s="3" t="s">
        <v>0</v>
      </c>
      <c r="C1" s="3" t="s">
        <v>0</v>
      </c>
      <c r="D1" s="3" t="s">
        <v>0</v>
      </c>
      <c r="E1" s="33" t="s">
        <v>0</v>
      </c>
      <c r="F1" s="34" t="s">
        <v>0</v>
      </c>
      <c r="G1" s="34" t="s">
        <v>0</v>
      </c>
      <c r="H1" s="43" t="s">
        <v>0</v>
      </c>
      <c r="I1" s="43" t="s">
        <v>0</v>
      </c>
      <c r="J1" s="34" t="s">
        <v>0</v>
      </c>
      <c r="K1" s="35" t="s">
        <v>0</v>
      </c>
      <c r="L1" s="24" t="s">
        <v>0</v>
      </c>
      <c r="M1" s="12" t="s">
        <v>0</v>
      </c>
      <c r="N1" s="12" t="s">
        <v>0</v>
      </c>
      <c r="O1" s="12" t="s">
        <v>0</v>
      </c>
    </row>
    <row r="2" spans="1:15" ht="40.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5"/>
    </row>
    <row r="3" spans="1:15" ht="36" customHeight="1" x14ac:dyDescent="0.25">
      <c r="A3" s="49"/>
      <c r="B3" s="49"/>
      <c r="C3" s="49"/>
      <c r="D3" s="49"/>
      <c r="E3" s="51" t="s">
        <v>1</v>
      </c>
      <c r="F3" s="51"/>
      <c r="G3" s="51"/>
      <c r="H3" s="51"/>
      <c r="I3" s="52"/>
      <c r="J3" s="50" t="s">
        <v>2</v>
      </c>
      <c r="K3" s="51"/>
      <c r="L3" s="52"/>
      <c r="M3" s="50" t="s">
        <v>3</v>
      </c>
      <c r="N3" s="51"/>
      <c r="O3" s="51"/>
    </row>
    <row r="4" spans="1:15" s="6" customFormat="1" ht="102" customHeight="1" x14ac:dyDescent="0.25">
      <c r="A4" s="32" t="s">
        <v>4</v>
      </c>
      <c r="B4" s="32" t="s">
        <v>5</v>
      </c>
      <c r="C4" s="31" t="s">
        <v>6</v>
      </c>
      <c r="D4" s="31" t="s">
        <v>7</v>
      </c>
      <c r="E4" s="40" t="s">
        <v>8</v>
      </c>
      <c r="F4" s="41" t="s">
        <v>9</v>
      </c>
      <c r="G4" s="40" t="s">
        <v>10</v>
      </c>
      <c r="H4" s="42" t="s">
        <v>11</v>
      </c>
      <c r="I4" s="42" t="s">
        <v>12</v>
      </c>
      <c r="J4" s="36" t="s">
        <v>13</v>
      </c>
      <c r="K4" s="37" t="s">
        <v>14</v>
      </c>
      <c r="L4" s="30" t="s">
        <v>15</v>
      </c>
      <c r="M4" s="28" t="s">
        <v>16</v>
      </c>
      <c r="N4" s="29" t="s">
        <v>17</v>
      </c>
      <c r="O4" s="29" t="s">
        <v>18</v>
      </c>
    </row>
    <row r="5" spans="1:15" ht="15" customHeight="1" x14ac:dyDescent="0.25">
      <c r="A5" s="1" t="s">
        <v>19</v>
      </c>
      <c r="B5" s="1" t="s">
        <v>20</v>
      </c>
      <c r="C5" s="3" t="s">
        <v>21</v>
      </c>
      <c r="D5" s="1" t="s">
        <v>22</v>
      </c>
      <c r="E5" s="38">
        <f>SUMIFS(CAMPI!$AC$4:$AC$1307,CAMPI!$D$4:$D$1307,D5,CAMPI!$E$4:$E$1307,"ENSINO PRESENCIAL",CAMPI!$AO$4:$AO$1307,"PRESENCIAL")</f>
        <v>1237</v>
      </c>
      <c r="F5" s="38">
        <f>SUMIFS(CAMPI!$AC$4:$AC$1307,CAMPI!$D$4:$D$1307,D5,CAMPI!$E$4:$E$1307,"ENSINO A DISTANCIA",CAMPI!$AO$4:$AO$1307,"EAD")</f>
        <v>0</v>
      </c>
      <c r="G5" s="38">
        <f>SUMIFS(CAMPI!$AC$4:$AC$1307,CAMPI!$D$4:$D$1307,D5,CAMPI!$E$4:$E$1307,"ENSINO A DISTANCIA",CAMPI!$AO$4:$AO$1307,"EAD FP")</f>
        <v>95</v>
      </c>
      <c r="H5" s="44">
        <f>SUMIFS(CAMPI!$AC$4:$AC$1307,CAMPI!$D$4:$D$1307,D5,CAMPI!$AO$4:$AO$1307,"DESCONSIDERADO")</f>
        <v>0</v>
      </c>
      <c r="I5" s="44">
        <f>SUMIFS(CAMPI!$AC$4:$AC$1307,CAMPI!$D$4:$D$1307,D5)</f>
        <v>1332</v>
      </c>
      <c r="J5" s="38">
        <v>0</v>
      </c>
      <c r="K5" s="39">
        <v>0</v>
      </c>
      <c r="L5" s="2">
        <f t="shared" ref="L5:L24" si="0">AVERAGE(J5:K5)</f>
        <v>0</v>
      </c>
      <c r="M5" s="4">
        <f>SUMIFS(CAMPI!$AN$4:$AN$1307,CAMPI!$D$4:$D$1307,D5,CAMPI!$E$4:$E$1307,"ENSINO PRESENCIAL",CAMPI!$AO$4:$AO$1307,"PRESENCIAL")</f>
        <v>2407.0246657976718</v>
      </c>
      <c r="N5" s="4">
        <f>SUMIFS(CAMPI!$AN$4:$AN$1307,CAMPI!$D$4:$D$1307,D5,CAMPI!$E$4:$E$1307,"ENSINO A DISTANCIA",CAMPI!$AO$4:$AO$1307,"EAD")</f>
        <v>0</v>
      </c>
      <c r="O5" s="4">
        <f>SUMIFS(CAMPI!$AN$4:$AN$1307,CAMPI!$D$4:$D$1307,D5,CAMPI!$E$4:$E$1307,"ENSINO A DISTANCIA",CAMPI!$AO$4:$AO$1307,"EAD FP")</f>
        <v>76.486156150813017</v>
      </c>
    </row>
    <row r="6" spans="1:15" x14ac:dyDescent="0.25">
      <c r="A6" s="1" t="s">
        <v>19</v>
      </c>
      <c r="B6" s="1" t="s">
        <v>23</v>
      </c>
      <c r="C6" s="1" t="s">
        <v>21</v>
      </c>
      <c r="D6" s="1" t="s">
        <v>24</v>
      </c>
      <c r="E6" s="38">
        <f>SUMIFS(CAMPI!$AC$4:$AC$1307,CAMPI!$D$4:$D$1307,D6,CAMPI!$E$4:$E$1307,"ENSINO PRESENCIAL",CAMPI!$AO$4:$AO$1307,"PRESENCIAL")</f>
        <v>321</v>
      </c>
      <c r="F6" s="38">
        <f>SUMIFS(CAMPI!$AC$4:$AC$1307,CAMPI!$D$4:$D$1307,D6,CAMPI!$E$4:$E$1307,"ENSINO A DISTANCIA",CAMPI!$AO$4:$AO$1307,"EAD")</f>
        <v>0</v>
      </c>
      <c r="G6" s="38">
        <f>SUMIFS(CAMPI!$AC$4:$AC$1307,CAMPI!$D$4:$D$1307,D6,CAMPI!$E$4:$E$1307,"ENSINO A DISTANCIA",CAMPI!$AO$4:$AO$1307,"EAD FP")</f>
        <v>0</v>
      </c>
      <c r="H6" s="44">
        <f>SUMIFS(CAMPI!$AC$4:$AC$1307,CAMPI!$D$4:$D$1307,D6,CAMPI!$AO$4:$AO$1307,"DESCONSIDERADO")</f>
        <v>0</v>
      </c>
      <c r="I6" s="44">
        <f>SUMIFS(CAMPI!$AC$4:$AC$1307,CAMPI!$D$4:$D$1307,D6)</f>
        <v>321</v>
      </c>
      <c r="J6" s="38">
        <v>0</v>
      </c>
      <c r="K6" s="39">
        <v>0</v>
      </c>
      <c r="L6" s="2">
        <f t="shared" si="0"/>
        <v>0</v>
      </c>
      <c r="M6" s="4">
        <f>SUMIFS(CAMPI!$AN$4:$AN$1307,CAMPI!$D$4:$D$1307,D6,CAMPI!$E$4:$E$1307,"ENSINO PRESENCIAL",CAMPI!$AO$4:$AO$1307,"PRESENCIAL")</f>
        <v>904.83513222761837</v>
      </c>
      <c r="N6" s="4">
        <f>SUMIFS(CAMPI!$AN$4:$AN$1307,CAMPI!$D$4:$D$1307,D6,CAMPI!$E$4:$E$1307,"ENSINO A DISTANCIA",CAMPI!$AO$4:$AO$1307,"EAD")</f>
        <v>0</v>
      </c>
      <c r="O6" s="4">
        <f>SUMIFS(CAMPI!$AN$4:$AN$1307,CAMPI!$D$4:$D$1307,D6,CAMPI!$E$4:$E$1307,"ENSINO A DISTANCIA",CAMPI!$AO$4:$AO$1307,"EAD FP")</f>
        <v>0</v>
      </c>
    </row>
    <row r="7" spans="1:15" x14ac:dyDescent="0.25">
      <c r="A7" s="1" t="s">
        <v>19</v>
      </c>
      <c r="B7" s="1" t="s">
        <v>25</v>
      </c>
      <c r="C7" s="1" t="s">
        <v>21</v>
      </c>
      <c r="D7" s="1" t="s">
        <v>26</v>
      </c>
      <c r="E7" s="38">
        <f>SUMIFS(CAMPI!$AC$4:$AC$1307,CAMPI!$D$4:$D$1307,D7,CAMPI!$E$4:$E$1307,"ENSINO PRESENCIAL",CAMPI!$AO$4:$AO$1307,"PRESENCIAL")</f>
        <v>378</v>
      </c>
      <c r="F7" s="38">
        <f>SUMIFS(CAMPI!$AC$4:$AC$1307,CAMPI!$D$4:$D$1307,D7,CAMPI!$E$4:$E$1307,"ENSINO A DISTANCIA",CAMPI!$AO$4:$AO$1307,"EAD")</f>
        <v>381</v>
      </c>
      <c r="G7" s="38">
        <f>SUMIFS(CAMPI!$AC$4:$AC$1307,CAMPI!$D$4:$D$1307,D7,CAMPI!$E$4:$E$1307,"ENSINO A DISTANCIA",CAMPI!$AO$4:$AO$1307,"EAD FP")</f>
        <v>259</v>
      </c>
      <c r="H7" s="44">
        <f>SUMIFS(CAMPI!$AC$4:$AC$1307,CAMPI!$D$4:$D$1307,D7,CAMPI!$AO$4:$AO$1307,"DESCONSIDERADO")</f>
        <v>0</v>
      </c>
      <c r="I7" s="44">
        <f>SUMIFS(CAMPI!$AC$4:$AC$1307,CAMPI!$D$4:$D$1307,D7)</f>
        <v>1018</v>
      </c>
      <c r="J7" s="38">
        <v>0</v>
      </c>
      <c r="K7" s="39">
        <v>0</v>
      </c>
      <c r="L7" s="2">
        <f t="shared" si="0"/>
        <v>0</v>
      </c>
      <c r="M7" s="4">
        <f>SUMIFS(CAMPI!$AN$4:$AN$1307,CAMPI!$D$4:$D$1307,D7,CAMPI!$E$4:$E$1307,"ENSINO PRESENCIAL",CAMPI!$AO$4:$AO$1307,"PRESENCIAL")</f>
        <v>638.77186609124692</v>
      </c>
      <c r="N7" s="4">
        <f>SUMIFS(CAMPI!$AN$4:$AN$1307,CAMPI!$D$4:$D$1307,D7,CAMPI!$E$4:$E$1307,"ENSINO A DISTANCIA",CAMPI!$AO$4:$AO$1307,"EAD")</f>
        <v>187.06477828258679</v>
      </c>
      <c r="O7" s="4">
        <f>SUMIFS(CAMPI!$AN$4:$AN$1307,CAMPI!$D$4:$D$1307,D7,CAMPI!$E$4:$E$1307,"ENSINO A DISTANCIA",CAMPI!$AO$4:$AO$1307,"EAD FP")</f>
        <v>168.90460411580048</v>
      </c>
    </row>
    <row r="8" spans="1:15" x14ac:dyDescent="0.25">
      <c r="A8" s="1" t="s">
        <v>19</v>
      </c>
      <c r="B8" s="1" t="s">
        <v>27</v>
      </c>
      <c r="C8" s="1" t="s">
        <v>21</v>
      </c>
      <c r="D8" s="1" t="s">
        <v>28</v>
      </c>
      <c r="E8" s="38">
        <f>SUMIFS(CAMPI!$AC$4:$AC$1307,CAMPI!$D$4:$D$1307,D8,CAMPI!$E$4:$E$1307,"ENSINO PRESENCIAL",CAMPI!$AO$4:$AO$1307,"PRESENCIAL")</f>
        <v>798</v>
      </c>
      <c r="F8" s="38">
        <f>SUMIFS(CAMPI!$AC$4:$AC$1307,CAMPI!$D$4:$D$1307,D8,CAMPI!$E$4:$E$1307,"ENSINO A DISTANCIA",CAMPI!$AO$4:$AO$1307,"EAD")</f>
        <v>0</v>
      </c>
      <c r="G8" s="38">
        <f>SUMIFS(CAMPI!$AC$4:$AC$1307,CAMPI!$D$4:$D$1307,D8,CAMPI!$E$4:$E$1307,"ENSINO A DISTANCIA",CAMPI!$AO$4:$AO$1307,"EAD FP")</f>
        <v>81</v>
      </c>
      <c r="H8" s="44">
        <f>SUMIFS(CAMPI!$AC$4:$AC$1307,CAMPI!$D$4:$D$1307,D8,CAMPI!$AO$4:$AO$1307,"DESCONSIDERADO")</f>
        <v>0</v>
      </c>
      <c r="I8" s="44">
        <f>SUMIFS(CAMPI!$AC$4:$AC$1307,CAMPI!$D$4:$D$1307,D8)</f>
        <v>879</v>
      </c>
      <c r="J8" s="38">
        <v>0</v>
      </c>
      <c r="K8" s="39">
        <v>0</v>
      </c>
      <c r="L8" s="2">
        <f t="shared" si="0"/>
        <v>0</v>
      </c>
      <c r="M8" s="4">
        <f>SUMIFS(CAMPI!$AN$4:$AN$1307,CAMPI!$D$4:$D$1307,D8,CAMPI!$E$4:$E$1307,"ENSINO PRESENCIAL",CAMPI!$AO$4:$AO$1307,"PRESENCIAL")</f>
        <v>1637.3165010964644</v>
      </c>
      <c r="N8" s="4">
        <f>SUMIFS(CAMPI!$AN$4:$AN$1307,CAMPI!$D$4:$D$1307,D8,CAMPI!$E$4:$E$1307,"ENSINO A DISTANCIA",CAMPI!$AO$4:$AO$1307,"EAD")</f>
        <v>0</v>
      </c>
      <c r="O8" s="4">
        <f>SUMIFS(CAMPI!$AN$4:$AN$1307,CAMPI!$D$4:$D$1307,D8,CAMPI!$E$4:$E$1307,"ENSINO A DISTANCIA",CAMPI!$AO$4:$AO$1307,"EAD FP")</f>
        <v>67.082742457409353</v>
      </c>
    </row>
    <row r="9" spans="1:15" x14ac:dyDescent="0.25">
      <c r="A9" s="1" t="s">
        <v>19</v>
      </c>
      <c r="B9" s="1" t="s">
        <v>29</v>
      </c>
      <c r="C9" s="1" t="s">
        <v>21</v>
      </c>
      <c r="D9" s="1" t="s">
        <v>30</v>
      </c>
      <c r="E9" s="38">
        <f>SUMIFS(CAMPI!$AC$4:$AC$1307,CAMPI!$D$4:$D$1307,D9,CAMPI!$E$4:$E$1307,"ENSINO PRESENCIAL",CAMPI!$AO$4:$AO$1307,"PRESENCIAL")</f>
        <v>976</v>
      </c>
      <c r="F9" s="38">
        <f>SUMIFS(CAMPI!$AC$4:$AC$1307,CAMPI!$D$4:$D$1307,D9,CAMPI!$E$4:$E$1307,"ENSINO A DISTANCIA",CAMPI!$AO$4:$AO$1307,"EAD")</f>
        <v>0</v>
      </c>
      <c r="G9" s="38">
        <f>SUMIFS(CAMPI!$AC$4:$AC$1307,CAMPI!$D$4:$D$1307,D9,CAMPI!$E$4:$E$1307,"ENSINO A DISTANCIA",CAMPI!$AO$4:$AO$1307,"EAD FP")</f>
        <v>89</v>
      </c>
      <c r="H9" s="44">
        <f>SUMIFS(CAMPI!$AC$4:$AC$1307,CAMPI!$D$4:$D$1307,D9,CAMPI!$AO$4:$AO$1307,"DESCONSIDERADO")</f>
        <v>0</v>
      </c>
      <c r="I9" s="44">
        <f>SUMIFS(CAMPI!$AC$4:$AC$1307,CAMPI!$D$4:$D$1307,D9)</f>
        <v>1065</v>
      </c>
      <c r="J9" s="38">
        <v>128</v>
      </c>
      <c r="K9" s="39">
        <v>128</v>
      </c>
      <c r="L9" s="2">
        <f t="shared" si="0"/>
        <v>128</v>
      </c>
      <c r="M9" s="4">
        <f>SUMIFS(CAMPI!$AN$4:$AN$1307,CAMPI!$D$4:$D$1307,D9,CAMPI!$E$4:$E$1307,"ENSINO PRESENCIAL",CAMPI!$AO$4:$AO$1307,"PRESENCIAL")</f>
        <v>2567.2438512094604</v>
      </c>
      <c r="N9" s="4">
        <f>SUMIFS(CAMPI!$AN$4:$AN$1307,CAMPI!$D$4:$D$1307,D9,CAMPI!$E$4:$E$1307,"ENSINO A DISTANCIA",CAMPI!$AO$4:$AO$1307,"EAD")</f>
        <v>0</v>
      </c>
      <c r="O9" s="4">
        <f>SUMIFS(CAMPI!$AN$4:$AN$1307,CAMPI!$D$4:$D$1307,D9,CAMPI!$E$4:$E$1307,"ENSINO A DISTANCIA",CAMPI!$AO$4:$AO$1307,"EAD FP")</f>
        <v>87.142733564013852</v>
      </c>
    </row>
    <row r="10" spans="1:15" x14ac:dyDescent="0.25">
      <c r="A10" s="1" t="s">
        <v>19</v>
      </c>
      <c r="B10" s="1" t="s">
        <v>31</v>
      </c>
      <c r="C10" s="1" t="s">
        <v>21</v>
      </c>
      <c r="D10" s="1" t="s">
        <v>32</v>
      </c>
      <c r="E10" s="38">
        <f>SUMIFS(CAMPI!$AC$4:$AC$1307,CAMPI!$D$4:$D$1307,D10,CAMPI!$E$4:$E$1307,"ENSINO PRESENCIAL",CAMPI!$AO$4:$AO$1307,"PRESENCIAL")</f>
        <v>1257</v>
      </c>
      <c r="F10" s="38">
        <f>SUMIFS(CAMPI!$AC$4:$AC$1307,CAMPI!$D$4:$D$1307,D10,CAMPI!$E$4:$E$1307,"ENSINO A DISTANCIA",CAMPI!$AO$4:$AO$1307,"EAD")</f>
        <v>0</v>
      </c>
      <c r="G10" s="38">
        <f>SUMIFS(CAMPI!$AC$4:$AC$1307,CAMPI!$D$4:$D$1307,D10,CAMPI!$E$4:$E$1307,"ENSINO A DISTANCIA",CAMPI!$AO$4:$AO$1307,"EAD FP")</f>
        <v>29</v>
      </c>
      <c r="H10" s="44">
        <f>SUMIFS(CAMPI!$AC$4:$AC$1307,CAMPI!$D$4:$D$1307,D10,CAMPI!$AO$4:$AO$1307,"DESCONSIDERADO")</f>
        <v>0</v>
      </c>
      <c r="I10" s="44">
        <f>SUMIFS(CAMPI!$AC$4:$AC$1307,CAMPI!$D$4:$D$1307,D10)</f>
        <v>1286</v>
      </c>
      <c r="J10" s="38">
        <v>0</v>
      </c>
      <c r="K10" s="39">
        <v>0</v>
      </c>
      <c r="L10" s="2">
        <f t="shared" si="0"/>
        <v>0</v>
      </c>
      <c r="M10" s="4">
        <f>SUMIFS(CAMPI!$AN$4:$AN$1307,CAMPI!$D$4:$D$1307,D10,CAMPI!$E$4:$E$1307,"ENSINO PRESENCIAL",CAMPI!$AO$4:$AO$1307,"PRESENCIAL")</f>
        <v>3360.6237107076968</v>
      </c>
      <c r="N10" s="4">
        <f>SUMIFS(CAMPI!$AN$4:$AN$1307,CAMPI!$D$4:$D$1307,D10,CAMPI!$E$4:$E$1307,"ENSINO A DISTANCIA",CAMPI!$AO$4:$AO$1307,"EAD")</f>
        <v>0</v>
      </c>
      <c r="O10" s="4">
        <f>SUMIFS(CAMPI!$AN$4:$AN$1307,CAMPI!$D$4:$D$1307,D10,CAMPI!$E$4:$E$1307,"ENSINO A DISTANCIA",CAMPI!$AO$4:$AO$1307,"EAD FP")</f>
        <v>29.201970443349754</v>
      </c>
    </row>
    <row r="11" spans="1:15" x14ac:dyDescent="0.25">
      <c r="A11" s="1" t="s">
        <v>19</v>
      </c>
      <c r="B11" s="1" t="s">
        <v>33</v>
      </c>
      <c r="C11" s="1" t="s">
        <v>21</v>
      </c>
      <c r="D11" s="1" t="s">
        <v>34</v>
      </c>
      <c r="E11" s="38">
        <f>SUMIFS(CAMPI!$AC$4:$AC$1307,CAMPI!$D$4:$D$1307,D11,CAMPI!$E$4:$E$1307,"ENSINO PRESENCIAL",CAMPI!$AO$4:$AO$1307,"PRESENCIAL")</f>
        <v>0</v>
      </c>
      <c r="F11" s="38">
        <f>SUMIFS(CAMPI!$AC$4:$AC$1307,CAMPI!$D$4:$D$1307,D11,CAMPI!$E$4:$E$1307,"ENSINO A DISTANCIA",CAMPI!$AO$4:$AO$1307,"EAD")</f>
        <v>0</v>
      </c>
      <c r="G11" s="38">
        <f>SUMIFS(CAMPI!$AC$4:$AC$1307,CAMPI!$D$4:$D$1307,D11,CAMPI!$E$4:$E$1307,"ENSINO A DISTANCIA",CAMPI!$AO$4:$AO$1307,"EAD FP")</f>
        <v>0</v>
      </c>
      <c r="H11" s="44">
        <f>SUMIFS(CAMPI!$AC$4:$AC$1307,CAMPI!$D$4:$D$1307,D11,CAMPI!$AO$4:$AO$1307,"DESCONSIDERADO")</f>
        <v>0</v>
      </c>
      <c r="I11" s="44">
        <f>SUMIFS(CAMPI!$AC$4:$AC$1307,CAMPI!$D$4:$D$1307,D11)</f>
        <v>0</v>
      </c>
      <c r="J11" s="38">
        <v>0</v>
      </c>
      <c r="K11" s="39">
        <v>0</v>
      </c>
      <c r="L11" s="2">
        <f t="shared" si="0"/>
        <v>0</v>
      </c>
      <c r="M11" s="4">
        <f>SUMIFS(CAMPI!$AN$4:$AN$1307,CAMPI!$D$4:$D$1307,D11,CAMPI!$E$4:$E$1307,"ENSINO PRESENCIAL",CAMPI!$AO$4:$AO$1307,"PRESENCIAL")</f>
        <v>0</v>
      </c>
      <c r="N11" s="4">
        <f>SUMIFS(CAMPI!$AN$4:$AN$1307,CAMPI!$D$4:$D$1307,D11,CAMPI!$E$4:$E$1307,"ENSINO A DISTANCIA",CAMPI!$AO$4:$AO$1307,"EAD")</f>
        <v>0</v>
      </c>
      <c r="O11" s="4">
        <f>SUMIFS(CAMPI!$AN$4:$AN$1307,CAMPI!$D$4:$D$1307,D11,CAMPI!$E$4:$E$1307,"ENSINO A DISTANCIA",CAMPI!$AO$4:$AO$1307,"EAD FP")</f>
        <v>0</v>
      </c>
    </row>
    <row r="12" spans="1:15" x14ac:dyDescent="0.25">
      <c r="A12" s="1" t="s">
        <v>19</v>
      </c>
      <c r="B12" s="1" t="s">
        <v>35</v>
      </c>
      <c r="C12" s="1" t="s">
        <v>21</v>
      </c>
      <c r="D12" s="1" t="s">
        <v>36</v>
      </c>
      <c r="E12" s="38">
        <f>SUMIFS(CAMPI!$AC$4:$AC$1307,CAMPI!$D$4:$D$1307,D12,CAMPI!$E$4:$E$1307,"ENSINO PRESENCIAL",CAMPI!$AO$4:$AO$1307,"PRESENCIAL")</f>
        <v>1037</v>
      </c>
      <c r="F12" s="38">
        <f>SUMIFS(CAMPI!$AC$4:$AC$1307,CAMPI!$D$4:$D$1307,D12,CAMPI!$E$4:$E$1307,"ENSINO A DISTANCIA",CAMPI!$AO$4:$AO$1307,"EAD")</f>
        <v>0</v>
      </c>
      <c r="G12" s="38">
        <f>SUMIFS(CAMPI!$AC$4:$AC$1307,CAMPI!$D$4:$D$1307,D12,CAMPI!$E$4:$E$1307,"ENSINO A DISTANCIA",CAMPI!$AO$4:$AO$1307,"EAD FP")</f>
        <v>42</v>
      </c>
      <c r="H12" s="44">
        <f>SUMIFS(CAMPI!$AC$4:$AC$1307,CAMPI!$D$4:$D$1307,D12,CAMPI!$AO$4:$AO$1307,"DESCONSIDERADO")</f>
        <v>0</v>
      </c>
      <c r="I12" s="44">
        <f>SUMIFS(CAMPI!$AC$4:$AC$1307,CAMPI!$D$4:$D$1307,D12)</f>
        <v>1079</v>
      </c>
      <c r="J12" s="38">
        <v>69</v>
      </c>
      <c r="K12" s="39">
        <v>69</v>
      </c>
      <c r="L12" s="2">
        <f t="shared" si="0"/>
        <v>69</v>
      </c>
      <c r="M12" s="4">
        <f>SUMIFS(CAMPI!$AN$4:$AN$1307,CAMPI!$D$4:$D$1307,D12,CAMPI!$E$4:$E$1307,"ENSINO PRESENCIAL",CAMPI!$AO$4:$AO$1307,"PRESENCIAL")</f>
        <v>2842.4065383424409</v>
      </c>
      <c r="N12" s="4">
        <f>SUMIFS(CAMPI!$AN$4:$AN$1307,CAMPI!$D$4:$D$1307,D12,CAMPI!$E$4:$E$1307,"ENSINO A DISTANCIA",CAMPI!$AO$4:$AO$1307,"EAD")</f>
        <v>0</v>
      </c>
      <c r="O12" s="4">
        <f>SUMIFS(CAMPI!$AN$4:$AN$1307,CAMPI!$D$4:$D$1307,D12,CAMPI!$E$4:$E$1307,"ENSINO A DISTANCIA",CAMPI!$AO$4:$AO$1307,"EAD FP")</f>
        <v>46.462500000000006</v>
      </c>
    </row>
    <row r="13" spans="1:15" x14ac:dyDescent="0.25">
      <c r="A13" s="1" t="s">
        <v>19</v>
      </c>
      <c r="B13" s="1" t="s">
        <v>37</v>
      </c>
      <c r="C13" s="1" t="s">
        <v>21</v>
      </c>
      <c r="D13" s="1" t="s">
        <v>38</v>
      </c>
      <c r="E13" s="38">
        <f>SUMIFS(CAMPI!$AC$4:$AC$1307,CAMPI!$D$4:$D$1307,D13,CAMPI!$E$4:$E$1307,"ENSINO PRESENCIAL",CAMPI!$AO$4:$AO$1307,"PRESENCIAL")</f>
        <v>4998</v>
      </c>
      <c r="F13" s="38">
        <f>SUMIFS(CAMPI!$AC$4:$AC$1307,CAMPI!$D$4:$D$1307,D13,CAMPI!$E$4:$E$1307,"ENSINO A DISTANCIA",CAMPI!$AO$4:$AO$1307,"EAD")</f>
        <v>1960</v>
      </c>
      <c r="G13" s="38">
        <f>SUMIFS(CAMPI!$AC$4:$AC$1307,CAMPI!$D$4:$D$1307,D13,CAMPI!$E$4:$E$1307,"ENSINO A DISTANCIA",CAMPI!$AO$4:$AO$1307,"EAD FP")</f>
        <v>3</v>
      </c>
      <c r="H13" s="44">
        <f>SUMIFS(CAMPI!$AC$4:$AC$1307,CAMPI!$D$4:$D$1307,D13,CAMPI!$AO$4:$AO$1307,"DESCONSIDERADO")</f>
        <v>0</v>
      </c>
      <c r="I13" s="44">
        <f>SUMIFS(CAMPI!$AC$4:$AC$1307,CAMPI!$D$4:$D$1307,D13)</f>
        <v>6961</v>
      </c>
      <c r="J13" s="38">
        <v>0</v>
      </c>
      <c r="K13" s="39">
        <v>0</v>
      </c>
      <c r="L13" s="2">
        <f t="shared" si="0"/>
        <v>0</v>
      </c>
      <c r="M13" s="4">
        <f>SUMIFS(CAMPI!$AN$4:$AN$1307,CAMPI!$D$4:$D$1307,D13,CAMPI!$E$4:$E$1307,"ENSINO PRESENCIAL",CAMPI!$AO$4:$AO$1307,"PRESENCIAL")</f>
        <v>7468.6257059646423</v>
      </c>
      <c r="N13" s="4">
        <f>SUMIFS(CAMPI!$AN$4:$AN$1307,CAMPI!$D$4:$D$1307,D13,CAMPI!$E$4:$E$1307,"ENSINO A DISTANCIA",CAMPI!$AO$4:$AO$1307,"EAD")</f>
        <v>1027.6734918888187</v>
      </c>
      <c r="O13" s="4">
        <f>SUMIFS(CAMPI!$AN$4:$AN$1307,CAMPI!$D$4:$D$1307,D13,CAMPI!$E$4:$E$1307,"ENSINO A DISTANCIA",CAMPI!$AO$4:$AO$1307,"EAD FP")</f>
        <v>0</v>
      </c>
    </row>
    <row r="14" spans="1:15" x14ac:dyDescent="0.25">
      <c r="A14" s="1" t="s">
        <v>19</v>
      </c>
      <c r="B14" s="1" t="s">
        <v>37</v>
      </c>
      <c r="C14" s="1" t="s">
        <v>21</v>
      </c>
      <c r="D14" s="1" t="s">
        <v>39</v>
      </c>
      <c r="E14" s="38">
        <f>SUMIFS(CAMPI!$AC$4:$AC$1307,CAMPI!$D$4:$D$1307,D14,CAMPI!$E$4:$E$1307,"ENSINO PRESENCIAL",CAMPI!$AO$4:$AO$1307,"PRESENCIAL")</f>
        <v>1207</v>
      </c>
      <c r="F14" s="38">
        <f>SUMIFS(CAMPI!$AC$4:$AC$1307,CAMPI!$D$4:$D$1307,D14,CAMPI!$E$4:$E$1307,"ENSINO A DISTANCIA",CAMPI!$AO$4:$AO$1307,"EAD")</f>
        <v>822</v>
      </c>
      <c r="G14" s="38">
        <f>SUMIFS(CAMPI!$AC$4:$AC$1307,CAMPI!$D$4:$D$1307,D14,CAMPI!$E$4:$E$1307,"ENSINO A DISTANCIA",CAMPI!$AO$4:$AO$1307,"EAD FP")</f>
        <v>155</v>
      </c>
      <c r="H14" s="44">
        <f>SUMIFS(CAMPI!$AC$4:$AC$1307,CAMPI!$D$4:$D$1307,D14,CAMPI!$AO$4:$AO$1307,"DESCONSIDERADO")</f>
        <v>0</v>
      </c>
      <c r="I14" s="44">
        <f>SUMIFS(CAMPI!$AC$4:$AC$1307,CAMPI!$D$4:$D$1307,D14)</f>
        <v>2184</v>
      </c>
      <c r="J14" s="38">
        <v>0</v>
      </c>
      <c r="K14" s="39">
        <v>0</v>
      </c>
      <c r="L14" s="2">
        <f t="shared" si="0"/>
        <v>0</v>
      </c>
      <c r="M14" s="4">
        <f>SUMIFS(CAMPI!$AN$4:$AN$1307,CAMPI!$D$4:$D$1307,D14,CAMPI!$E$4:$E$1307,"ENSINO PRESENCIAL",CAMPI!$AO$4:$AO$1307,"PRESENCIAL")</f>
        <v>1850.6819306328871</v>
      </c>
      <c r="N14" s="4">
        <f>SUMIFS(CAMPI!$AN$4:$AN$1307,CAMPI!$D$4:$D$1307,D14,CAMPI!$E$4:$E$1307,"ENSINO A DISTANCIA",CAMPI!$AO$4:$AO$1307,"EAD")</f>
        <v>708.35214624854405</v>
      </c>
      <c r="O14" s="4">
        <f>SUMIFS(CAMPI!$AN$4:$AN$1307,CAMPI!$D$4:$D$1307,D14,CAMPI!$E$4:$E$1307,"ENSINO A DISTANCIA",CAMPI!$AO$4:$AO$1307,"EAD FP")</f>
        <v>158.41392649903287</v>
      </c>
    </row>
    <row r="15" spans="1:15" x14ac:dyDescent="0.25">
      <c r="A15" s="1" t="s">
        <v>19</v>
      </c>
      <c r="B15" s="1" t="s">
        <v>40</v>
      </c>
      <c r="C15" s="1" t="s">
        <v>21</v>
      </c>
      <c r="D15" s="1" t="s">
        <v>41</v>
      </c>
      <c r="E15" s="38">
        <f>SUMIFS(CAMPI!$AC$4:$AC$1307,CAMPI!$D$4:$D$1307,D15,CAMPI!$E$4:$E$1307,"ENSINO PRESENCIAL",CAMPI!$AO$4:$AO$1307,"PRESENCIAL")</f>
        <v>442</v>
      </c>
      <c r="F15" s="38">
        <f>SUMIFS(CAMPI!$AC$4:$AC$1307,CAMPI!$D$4:$D$1307,D15,CAMPI!$E$4:$E$1307,"ENSINO A DISTANCIA",CAMPI!$AO$4:$AO$1307,"EAD")</f>
        <v>0</v>
      </c>
      <c r="G15" s="38">
        <f>SUMIFS(CAMPI!$AC$4:$AC$1307,CAMPI!$D$4:$D$1307,D15,CAMPI!$E$4:$E$1307,"ENSINO A DISTANCIA",CAMPI!$AO$4:$AO$1307,"EAD FP")</f>
        <v>77</v>
      </c>
      <c r="H15" s="44">
        <f>SUMIFS(CAMPI!$AC$4:$AC$1307,CAMPI!$D$4:$D$1307,D15,CAMPI!$AO$4:$AO$1307,"DESCONSIDERADO")</f>
        <v>0</v>
      </c>
      <c r="I15" s="44">
        <f>SUMIFS(CAMPI!$AC$4:$AC$1307,CAMPI!$D$4:$D$1307,D15)</f>
        <v>519</v>
      </c>
      <c r="J15" s="38">
        <v>0</v>
      </c>
      <c r="K15" s="39">
        <v>0</v>
      </c>
      <c r="L15" s="2">
        <f t="shared" si="0"/>
        <v>0</v>
      </c>
      <c r="M15" s="4">
        <f>SUMIFS(CAMPI!$AN$4:$AN$1307,CAMPI!$D$4:$D$1307,D15,CAMPI!$E$4:$E$1307,"ENSINO PRESENCIAL",CAMPI!$AO$4:$AO$1307,"PRESENCIAL")</f>
        <v>1239.591348430763</v>
      </c>
      <c r="N15" s="4">
        <f>SUMIFS(CAMPI!$AN$4:$AN$1307,CAMPI!$D$4:$D$1307,D15,CAMPI!$E$4:$E$1307,"ENSINO A DISTANCIA",CAMPI!$AO$4:$AO$1307,"EAD")</f>
        <v>0</v>
      </c>
      <c r="O15" s="4">
        <f>SUMIFS(CAMPI!$AN$4:$AN$1307,CAMPI!$D$4:$D$1307,D15,CAMPI!$E$4:$E$1307,"ENSINO A DISTANCIA",CAMPI!$AO$4:$AO$1307,"EAD FP")</f>
        <v>92.810553633218007</v>
      </c>
    </row>
    <row r="16" spans="1:15" x14ac:dyDescent="0.25">
      <c r="A16" s="1" t="s">
        <v>19</v>
      </c>
      <c r="B16" s="1" t="s">
        <v>42</v>
      </c>
      <c r="C16" s="1" t="s">
        <v>21</v>
      </c>
      <c r="D16" s="1" t="s">
        <v>43</v>
      </c>
      <c r="E16" s="38">
        <f>SUMIFS(CAMPI!$AC$4:$AC$1307,CAMPI!$D$4:$D$1307,D16,CAMPI!$E$4:$E$1307,"ENSINO PRESENCIAL",CAMPI!$AO$4:$AO$1307,"PRESENCIAL")</f>
        <v>403</v>
      </c>
      <c r="F16" s="38">
        <f>SUMIFS(CAMPI!$AC$4:$AC$1307,CAMPI!$D$4:$D$1307,D16,CAMPI!$E$4:$E$1307,"ENSINO A DISTANCIA",CAMPI!$AO$4:$AO$1307,"EAD")</f>
        <v>60</v>
      </c>
      <c r="G16" s="38">
        <f>SUMIFS(CAMPI!$AC$4:$AC$1307,CAMPI!$D$4:$D$1307,D16,CAMPI!$E$4:$E$1307,"ENSINO A DISTANCIA",CAMPI!$AO$4:$AO$1307,"EAD FP")</f>
        <v>159</v>
      </c>
      <c r="H16" s="44">
        <f>SUMIFS(CAMPI!$AC$4:$AC$1307,CAMPI!$D$4:$D$1307,D16,CAMPI!$AO$4:$AO$1307,"DESCONSIDERADO")</f>
        <v>0</v>
      </c>
      <c r="I16" s="44">
        <f>SUMIFS(CAMPI!$AC$4:$AC$1307,CAMPI!$D$4:$D$1307,D16)</f>
        <v>622</v>
      </c>
      <c r="J16" s="38">
        <v>0</v>
      </c>
      <c r="K16" s="39">
        <v>0</v>
      </c>
      <c r="L16" s="2">
        <f t="shared" si="0"/>
        <v>0</v>
      </c>
      <c r="M16" s="4">
        <f>SUMIFS(CAMPI!$AN$4:$AN$1307,CAMPI!$D$4:$D$1307,D16,CAMPI!$E$4:$E$1307,"ENSINO PRESENCIAL",CAMPI!$AO$4:$AO$1307,"PRESENCIAL")</f>
        <v>1469.9086888092868</v>
      </c>
      <c r="N16" s="4">
        <f>SUMIFS(CAMPI!$AN$4:$AN$1307,CAMPI!$D$4:$D$1307,D16,CAMPI!$E$4:$E$1307,"ENSINO A DISTANCIA",CAMPI!$AO$4:$AO$1307,"EAD")</f>
        <v>51.718858131487892</v>
      </c>
      <c r="O16" s="4">
        <f>SUMIFS(CAMPI!$AN$4:$AN$1307,CAMPI!$D$4:$D$1307,D16,CAMPI!$E$4:$E$1307,"ENSINO A DISTANCIA",CAMPI!$AO$4:$AO$1307,"EAD FP")</f>
        <v>41.114215994962215</v>
      </c>
    </row>
    <row r="17" spans="1:15" x14ac:dyDescent="0.25">
      <c r="A17" s="1" t="s">
        <v>19</v>
      </c>
      <c r="B17" s="1" t="s">
        <v>44</v>
      </c>
      <c r="C17" s="1" t="s">
        <v>21</v>
      </c>
      <c r="D17" s="1" t="s">
        <v>45</v>
      </c>
      <c r="E17" s="38">
        <f>SUMIFS(CAMPI!$AC$4:$AC$1307,CAMPI!$D$4:$D$1307,D17,CAMPI!$E$4:$E$1307,"ENSINO PRESENCIAL",CAMPI!$AO$4:$AO$1307,"PRESENCIAL")</f>
        <v>819</v>
      </c>
      <c r="F17" s="38">
        <f>SUMIFS(CAMPI!$AC$4:$AC$1307,CAMPI!$D$4:$D$1307,D17,CAMPI!$E$4:$E$1307,"ENSINO A DISTANCIA",CAMPI!$AO$4:$AO$1307,"EAD")</f>
        <v>0</v>
      </c>
      <c r="G17" s="38">
        <f>SUMIFS(CAMPI!$AC$4:$AC$1307,CAMPI!$D$4:$D$1307,D17,CAMPI!$E$4:$E$1307,"ENSINO A DISTANCIA",CAMPI!$AO$4:$AO$1307,"EAD FP")</f>
        <v>60</v>
      </c>
      <c r="H17" s="44">
        <f>SUMIFS(CAMPI!$AC$4:$AC$1307,CAMPI!$D$4:$D$1307,D17,CAMPI!$AO$4:$AO$1307,"DESCONSIDERADO")</f>
        <v>0</v>
      </c>
      <c r="I17" s="44">
        <f>SUMIFS(CAMPI!$AC$4:$AC$1307,CAMPI!$D$4:$D$1307,D17)</f>
        <v>879</v>
      </c>
      <c r="J17" s="38">
        <v>98</v>
      </c>
      <c r="K17" s="39">
        <v>94</v>
      </c>
      <c r="L17" s="2">
        <f t="shared" si="0"/>
        <v>96</v>
      </c>
      <c r="M17" s="4">
        <f>SUMIFS(CAMPI!$AN$4:$AN$1307,CAMPI!$D$4:$D$1307,D17,CAMPI!$E$4:$E$1307,"ENSINO PRESENCIAL",CAMPI!$AO$4:$AO$1307,"PRESENCIAL")</f>
        <v>1947.0603543389127</v>
      </c>
      <c r="N17" s="4">
        <f>SUMIFS(CAMPI!$AN$4:$AN$1307,CAMPI!$D$4:$D$1307,D17,CAMPI!$E$4:$E$1307,"ENSINO A DISTANCIA",CAMPI!$AO$4:$AO$1307,"EAD")</f>
        <v>0</v>
      </c>
      <c r="O17" s="4">
        <f>SUMIFS(CAMPI!$AN$4:$AN$1307,CAMPI!$D$4:$D$1307,D17,CAMPI!$E$4:$E$1307,"ENSINO A DISTANCIA",CAMPI!$AO$4:$AO$1307,"EAD FP")</f>
        <v>54.552768166089962</v>
      </c>
    </row>
    <row r="18" spans="1:15" x14ac:dyDescent="0.25">
      <c r="A18" s="1" t="s">
        <v>19</v>
      </c>
      <c r="B18" s="1" t="s">
        <v>46</v>
      </c>
      <c r="C18" s="1" t="s">
        <v>21</v>
      </c>
      <c r="D18" s="1" t="s">
        <v>47</v>
      </c>
      <c r="E18" s="38">
        <f>SUMIFS(CAMPI!$AC$4:$AC$1307,CAMPI!$D$4:$D$1307,D18,CAMPI!$E$4:$E$1307,"ENSINO PRESENCIAL",CAMPI!$AO$4:$AO$1307,"PRESENCIAL")</f>
        <v>1043</v>
      </c>
      <c r="F18" s="38">
        <f>SUMIFS(CAMPI!$AC$4:$AC$1307,CAMPI!$D$4:$D$1307,D18,CAMPI!$E$4:$E$1307,"ENSINO A DISTANCIA",CAMPI!$AO$4:$AO$1307,"EAD")</f>
        <v>0</v>
      </c>
      <c r="G18" s="38">
        <f>SUMIFS(CAMPI!$AC$4:$AC$1307,CAMPI!$D$4:$D$1307,D18,CAMPI!$E$4:$E$1307,"ENSINO A DISTANCIA",CAMPI!$AO$4:$AO$1307,"EAD FP")</f>
        <v>92</v>
      </c>
      <c r="H18" s="44">
        <f>SUMIFS(CAMPI!$AC$4:$AC$1307,CAMPI!$D$4:$D$1307,D18,CAMPI!$AO$4:$AO$1307,"DESCONSIDERADO")</f>
        <v>0</v>
      </c>
      <c r="I18" s="44">
        <f>SUMIFS(CAMPI!$AC$4:$AC$1307,CAMPI!$D$4:$D$1307,D18)</f>
        <v>1135</v>
      </c>
      <c r="J18" s="38">
        <v>0</v>
      </c>
      <c r="K18" s="39">
        <v>0</v>
      </c>
      <c r="L18" s="2">
        <f t="shared" si="0"/>
        <v>0</v>
      </c>
      <c r="M18" s="4">
        <f>SUMIFS(CAMPI!$AN$4:$AN$1307,CAMPI!$D$4:$D$1307,D18,CAMPI!$E$4:$E$1307,"ENSINO PRESENCIAL",CAMPI!$AO$4:$AO$1307,"PRESENCIAL")</f>
        <v>1864.1230068211964</v>
      </c>
      <c r="N18" s="4">
        <f>SUMIFS(CAMPI!$AN$4:$AN$1307,CAMPI!$D$4:$D$1307,D18,CAMPI!$E$4:$E$1307,"ENSINO A DISTANCIA",CAMPI!$AO$4:$AO$1307,"EAD")</f>
        <v>0</v>
      </c>
      <c r="O18" s="4">
        <f>SUMIFS(CAMPI!$AN$4:$AN$1307,CAMPI!$D$4:$D$1307,D18,CAMPI!$E$4:$E$1307,"ENSINO A DISTANCIA",CAMPI!$AO$4:$AO$1307,"EAD FP")</f>
        <v>82.500000000000014</v>
      </c>
    </row>
    <row r="19" spans="1:15" x14ac:dyDescent="0.25">
      <c r="A19" s="1" t="s">
        <v>19</v>
      </c>
      <c r="B19" s="1" t="s">
        <v>48</v>
      </c>
      <c r="C19" s="1" t="s">
        <v>21</v>
      </c>
      <c r="D19" s="1" t="s">
        <v>49</v>
      </c>
      <c r="E19" s="38">
        <f>SUMIFS(CAMPI!$AC$4:$AC$1307,CAMPI!$D$4:$D$1307,D19,CAMPI!$E$4:$E$1307,"ENSINO PRESENCIAL",CAMPI!$AO$4:$AO$1307,"PRESENCIAL")</f>
        <v>1269</v>
      </c>
      <c r="F19" s="38">
        <f>SUMIFS(CAMPI!$AC$4:$AC$1307,CAMPI!$D$4:$D$1307,D19,CAMPI!$E$4:$E$1307,"ENSINO A DISTANCIA",CAMPI!$AO$4:$AO$1307,"EAD")</f>
        <v>0</v>
      </c>
      <c r="G19" s="38">
        <f>SUMIFS(CAMPI!$AC$4:$AC$1307,CAMPI!$D$4:$D$1307,D19,CAMPI!$E$4:$E$1307,"ENSINO A DISTANCIA",CAMPI!$AO$4:$AO$1307,"EAD FP")</f>
        <v>45</v>
      </c>
      <c r="H19" s="44">
        <f>SUMIFS(CAMPI!$AC$4:$AC$1307,CAMPI!$D$4:$D$1307,D19,CAMPI!$AO$4:$AO$1307,"DESCONSIDERADO")</f>
        <v>0</v>
      </c>
      <c r="I19" s="44">
        <f>SUMIFS(CAMPI!$AC$4:$AC$1307,CAMPI!$D$4:$D$1307,D19)</f>
        <v>1314</v>
      </c>
      <c r="J19" s="38">
        <v>0</v>
      </c>
      <c r="K19" s="39">
        <v>0</v>
      </c>
      <c r="L19" s="2">
        <f t="shared" si="0"/>
        <v>0</v>
      </c>
      <c r="M19" s="4">
        <f>SUMIFS(CAMPI!$AN$4:$AN$1307,CAMPI!$D$4:$D$1307,D19,CAMPI!$E$4:$E$1307,"ENSINO PRESENCIAL",CAMPI!$AO$4:$AO$1307,"PRESENCIAL")</f>
        <v>2618.8896309064562</v>
      </c>
      <c r="N19" s="4">
        <f>SUMIFS(CAMPI!$AN$4:$AN$1307,CAMPI!$D$4:$D$1307,D19,CAMPI!$E$4:$E$1307,"ENSINO A DISTANCIA",CAMPI!$AO$4:$AO$1307,"EAD")</f>
        <v>0</v>
      </c>
      <c r="O19" s="4">
        <f>SUMIFS(CAMPI!$AN$4:$AN$1307,CAMPI!$D$4:$D$1307,D19,CAMPI!$E$4:$E$1307,"ENSINO A DISTANCIA",CAMPI!$AO$4:$AO$1307,"EAD FP")</f>
        <v>41.091695501730101</v>
      </c>
    </row>
    <row r="20" spans="1:15" x14ac:dyDescent="0.25">
      <c r="A20" s="1" t="s">
        <v>19</v>
      </c>
      <c r="B20" s="1" t="s">
        <v>50</v>
      </c>
      <c r="C20" s="1" t="s">
        <v>21</v>
      </c>
      <c r="D20" s="1" t="s">
        <v>51</v>
      </c>
      <c r="E20" s="38">
        <f>SUMIFS(CAMPI!$AC$4:$AC$1307,CAMPI!$D$4:$D$1307,D20,CAMPI!$E$4:$E$1307,"ENSINO PRESENCIAL",CAMPI!$AO$4:$AO$1307,"PRESENCIAL")</f>
        <v>1012</v>
      </c>
      <c r="F20" s="38">
        <f>SUMIFS(CAMPI!$AC$4:$AC$1307,CAMPI!$D$4:$D$1307,D20,CAMPI!$E$4:$E$1307,"ENSINO A DISTANCIA",CAMPI!$AO$4:$AO$1307,"EAD")</f>
        <v>0</v>
      </c>
      <c r="G20" s="38">
        <f>SUMIFS(CAMPI!$AC$4:$AC$1307,CAMPI!$D$4:$D$1307,D20,CAMPI!$E$4:$E$1307,"ENSINO A DISTANCIA",CAMPI!$AO$4:$AO$1307,"EAD FP")</f>
        <v>291</v>
      </c>
      <c r="H20" s="44">
        <f>SUMIFS(CAMPI!$AC$4:$AC$1307,CAMPI!$D$4:$D$1307,D20,CAMPI!$AO$4:$AO$1307,"DESCONSIDERADO")</f>
        <v>0</v>
      </c>
      <c r="I20" s="44">
        <f>SUMIFS(CAMPI!$AC$4:$AC$1307,CAMPI!$D$4:$D$1307,D20)</f>
        <v>1303</v>
      </c>
      <c r="J20" s="38">
        <v>0</v>
      </c>
      <c r="K20" s="39">
        <v>0</v>
      </c>
      <c r="L20" s="2">
        <f t="shared" si="0"/>
        <v>0</v>
      </c>
      <c r="M20" s="4">
        <f>SUMIFS(CAMPI!$AN$4:$AN$1307,CAMPI!$D$4:$D$1307,D20,CAMPI!$E$4:$E$1307,"ENSINO PRESENCIAL",CAMPI!$AO$4:$AO$1307,"PRESENCIAL")</f>
        <v>1614.4271270633242</v>
      </c>
      <c r="N20" s="4">
        <f>SUMIFS(CAMPI!$AN$4:$AN$1307,CAMPI!$D$4:$D$1307,D20,CAMPI!$E$4:$E$1307,"ENSINO A DISTANCIA",CAMPI!$AO$4:$AO$1307,"EAD")</f>
        <v>0</v>
      </c>
      <c r="O20" s="4">
        <f>SUMIFS(CAMPI!$AN$4:$AN$1307,CAMPI!$D$4:$D$1307,D20,CAMPI!$E$4:$E$1307,"ENSINO A DISTANCIA",CAMPI!$AO$4:$AO$1307,"EAD FP")</f>
        <v>242.82005609033351</v>
      </c>
    </row>
    <row r="21" spans="1:15" x14ac:dyDescent="0.25">
      <c r="A21" s="1" t="s">
        <v>19</v>
      </c>
      <c r="B21" s="1" t="s">
        <v>52</v>
      </c>
      <c r="C21" s="1" t="s">
        <v>21</v>
      </c>
      <c r="D21" s="1" t="s">
        <v>53</v>
      </c>
      <c r="E21" s="38">
        <f>SUMIFS(CAMPI!$AC$4:$AC$1307,CAMPI!$D$4:$D$1307,D21,CAMPI!$E$4:$E$1307,"ENSINO PRESENCIAL",CAMPI!$AO$4:$AO$1307,"PRESENCIAL")</f>
        <v>1664</v>
      </c>
      <c r="F21" s="38">
        <f>SUMIFS(CAMPI!$AC$4:$AC$1307,CAMPI!$D$4:$D$1307,D21,CAMPI!$E$4:$E$1307,"ENSINO A DISTANCIA",CAMPI!$AO$4:$AO$1307,"EAD")</f>
        <v>45</v>
      </c>
      <c r="G21" s="38">
        <f>SUMIFS(CAMPI!$AC$4:$AC$1307,CAMPI!$D$4:$D$1307,D21,CAMPI!$E$4:$E$1307,"ENSINO A DISTANCIA",CAMPI!$AO$4:$AO$1307,"EAD FP")</f>
        <v>0</v>
      </c>
      <c r="H21" s="44">
        <f>SUMIFS(CAMPI!$AC$4:$AC$1307,CAMPI!$D$4:$D$1307,D21,CAMPI!$AO$4:$AO$1307,"DESCONSIDERADO")</f>
        <v>0</v>
      </c>
      <c r="I21" s="44">
        <f>SUMIFS(CAMPI!$AC$4:$AC$1307,CAMPI!$D$4:$D$1307,D21)</f>
        <v>1709</v>
      </c>
      <c r="J21" s="38">
        <v>403</v>
      </c>
      <c r="K21" s="39">
        <v>370</v>
      </c>
      <c r="L21" s="2">
        <f t="shared" si="0"/>
        <v>386.5</v>
      </c>
      <c r="M21" s="4">
        <f>SUMIFS(CAMPI!$AN$4:$AN$1307,CAMPI!$D$4:$D$1307,D21,CAMPI!$E$4:$E$1307,"ENSINO PRESENCIAL",CAMPI!$AO$4:$AO$1307,"PRESENCIAL")</f>
        <v>4945.5161461182297</v>
      </c>
      <c r="N21" s="4">
        <f>SUMIFS(CAMPI!$AN$4:$AN$1307,CAMPI!$D$4:$D$1307,D21,CAMPI!$E$4:$E$1307,"ENSINO A DISTANCIA",CAMPI!$AO$4:$AO$1307,"EAD")</f>
        <v>41.25</v>
      </c>
      <c r="O21" s="4">
        <f>SUMIFS(CAMPI!$AN$4:$AN$1307,CAMPI!$D$4:$D$1307,D21,CAMPI!$E$4:$E$1307,"ENSINO A DISTANCIA",CAMPI!$AO$4:$AO$1307,"EAD FP")</f>
        <v>0</v>
      </c>
    </row>
    <row r="22" spans="1:15" x14ac:dyDescent="0.25">
      <c r="A22" s="1" t="s">
        <v>19</v>
      </c>
      <c r="B22" s="1" t="s">
        <v>54</v>
      </c>
      <c r="C22" s="1" t="s">
        <v>21</v>
      </c>
      <c r="D22" s="1" t="s">
        <v>55</v>
      </c>
      <c r="E22" s="38">
        <f>SUMIFS(CAMPI!$AC$4:$AC$1307,CAMPI!$D$4:$D$1307,D22,CAMPI!$E$4:$E$1307,"ENSINO PRESENCIAL",CAMPI!$AO$4:$AO$1307,"PRESENCIAL")</f>
        <v>1077</v>
      </c>
      <c r="F22" s="38">
        <f>SUMIFS(CAMPI!$AC$4:$AC$1307,CAMPI!$D$4:$D$1307,D22,CAMPI!$E$4:$E$1307,"ENSINO A DISTANCIA",CAMPI!$AO$4:$AO$1307,"EAD")</f>
        <v>48</v>
      </c>
      <c r="G22" s="38">
        <f>SUMIFS(CAMPI!$AC$4:$AC$1307,CAMPI!$D$4:$D$1307,D22,CAMPI!$E$4:$E$1307,"ENSINO A DISTANCIA",CAMPI!$AO$4:$AO$1307,"EAD FP")</f>
        <v>0</v>
      </c>
      <c r="H22" s="44">
        <f>SUMIFS(CAMPI!$AC$4:$AC$1307,CAMPI!$D$4:$D$1307,D22,CAMPI!$AO$4:$AO$1307,"DESCONSIDERADO")</f>
        <v>0</v>
      </c>
      <c r="I22" s="44">
        <f>SUMIFS(CAMPI!$AC$4:$AC$1307,CAMPI!$D$4:$D$1307,D22)</f>
        <v>1125</v>
      </c>
      <c r="J22" s="38">
        <v>0</v>
      </c>
      <c r="K22" s="39">
        <v>0</v>
      </c>
      <c r="L22" s="2">
        <f t="shared" si="0"/>
        <v>0</v>
      </c>
      <c r="M22" s="4">
        <f>SUMIFS(CAMPI!$AN$4:$AN$1307,CAMPI!$D$4:$D$1307,D22,CAMPI!$E$4:$E$1307,"ENSINO PRESENCIAL",CAMPI!$AO$4:$AO$1307,"PRESENCIAL")</f>
        <v>2743.4086699742293</v>
      </c>
      <c r="N22" s="4">
        <f>SUMIFS(CAMPI!$AN$4:$AN$1307,CAMPI!$D$4:$D$1307,D22,CAMPI!$E$4:$E$1307,"ENSINO A DISTANCIA",CAMPI!$AO$4:$AO$1307,"EAD")</f>
        <v>43.21712802768166</v>
      </c>
      <c r="O22" s="4">
        <f>SUMIFS(CAMPI!$AN$4:$AN$1307,CAMPI!$D$4:$D$1307,D22,CAMPI!$E$4:$E$1307,"ENSINO A DISTANCIA",CAMPI!$AO$4:$AO$1307,"EAD FP")</f>
        <v>0</v>
      </c>
    </row>
    <row r="23" spans="1:15" x14ac:dyDescent="0.25">
      <c r="A23" s="1" t="s">
        <v>19</v>
      </c>
      <c r="B23" s="1" t="s">
        <v>56</v>
      </c>
      <c r="C23" s="1" t="s">
        <v>21</v>
      </c>
      <c r="D23" s="1" t="s">
        <v>57</v>
      </c>
      <c r="E23" s="38">
        <f>SUMIFS(CAMPI!$AC$4:$AC$1307,CAMPI!$D$4:$D$1307,D23,CAMPI!$E$4:$E$1307,"ENSINO PRESENCIAL",CAMPI!$AO$4:$AO$1307,"PRESENCIAL")</f>
        <v>490</v>
      </c>
      <c r="F23" s="38">
        <f>SUMIFS(CAMPI!$AC$4:$AC$1307,CAMPI!$D$4:$D$1307,D23,CAMPI!$E$4:$E$1307,"ENSINO A DISTANCIA",CAMPI!$AO$4:$AO$1307,"EAD")</f>
        <v>0</v>
      </c>
      <c r="G23" s="38">
        <f>SUMIFS(CAMPI!$AC$4:$AC$1307,CAMPI!$D$4:$D$1307,D23,CAMPI!$E$4:$E$1307,"ENSINO A DISTANCIA",CAMPI!$AO$4:$AO$1307,"EAD FP")</f>
        <v>65</v>
      </c>
      <c r="H23" s="44">
        <f>SUMIFS(CAMPI!$AC$4:$AC$1307,CAMPI!$D$4:$D$1307,D23,CAMPI!$AO$4:$AO$1307,"DESCONSIDERADO")</f>
        <v>0</v>
      </c>
      <c r="I23" s="44">
        <f>SUMIFS(CAMPI!$AC$4:$AC$1307,CAMPI!$D$4:$D$1307,D23)</f>
        <v>555</v>
      </c>
      <c r="J23" s="38">
        <v>0</v>
      </c>
      <c r="K23" s="39">
        <v>0</v>
      </c>
      <c r="L23" s="2">
        <f t="shared" si="0"/>
        <v>0</v>
      </c>
      <c r="M23" s="4">
        <f>SUMIFS(CAMPI!$AN$4:$AN$1307,CAMPI!$D$4:$D$1307,D23,CAMPI!$E$4:$E$1307,"ENSINO PRESENCIAL",CAMPI!$AO$4:$AO$1307,"PRESENCIAL")</f>
        <v>644.1419958661096</v>
      </c>
      <c r="N23" s="4">
        <f>SUMIFS(CAMPI!$AN$4:$AN$1307,CAMPI!$D$4:$D$1307,D23,CAMPI!$E$4:$E$1307,"ENSINO A DISTANCIA",CAMPI!$AO$4:$AO$1307,"EAD")</f>
        <v>0</v>
      </c>
      <c r="O23" s="4">
        <f>SUMIFS(CAMPI!$AN$4:$AN$1307,CAMPI!$D$4:$D$1307,D23,CAMPI!$E$4:$E$1307,"ENSINO A DISTANCIA",CAMPI!$AO$4:$AO$1307,"EAD FP")</f>
        <v>66.533849129593804</v>
      </c>
    </row>
    <row r="24" spans="1:15" x14ac:dyDescent="0.25">
      <c r="A24" s="1" t="s">
        <v>19</v>
      </c>
      <c r="B24" s="1" t="s">
        <v>58</v>
      </c>
      <c r="C24" s="1" t="s">
        <v>21</v>
      </c>
      <c r="D24" s="1" t="s">
        <v>59</v>
      </c>
      <c r="E24" s="38">
        <f>SUMIFS(CAMPI!$AC$4:$AC$1307,CAMPI!$D$4:$D$1307,D24,CAMPI!$E$4:$E$1307,"ENSINO PRESENCIAL",CAMPI!$AO$4:$AO$1307,"PRESENCIAL")</f>
        <v>922</v>
      </c>
      <c r="F24" s="38">
        <f>SUMIFS(CAMPI!$AC$4:$AC$1307,CAMPI!$D$4:$D$1307,D24,CAMPI!$E$4:$E$1307,"ENSINO A DISTANCIA",CAMPI!$AO$4:$AO$1307,"EAD")</f>
        <v>68</v>
      </c>
      <c r="G24" s="38">
        <f>SUMIFS(CAMPI!$AC$4:$AC$1307,CAMPI!$D$4:$D$1307,D24,CAMPI!$E$4:$E$1307,"ENSINO A DISTANCIA",CAMPI!$AO$4:$AO$1307,"EAD FP")</f>
        <v>170</v>
      </c>
      <c r="H24" s="44">
        <f>SUMIFS(CAMPI!$AC$4:$AC$1307,CAMPI!$D$4:$D$1307,D24,CAMPI!$AO$4:$AO$1307,"DESCONSIDERADO")</f>
        <v>0</v>
      </c>
      <c r="I24" s="44">
        <f>SUMIFS(CAMPI!$AC$4:$AC$1307,CAMPI!$D$4:$D$1307,D24)</f>
        <v>1160</v>
      </c>
      <c r="J24" s="38">
        <v>0</v>
      </c>
      <c r="K24" s="39">
        <v>0</v>
      </c>
      <c r="L24" s="2">
        <f t="shared" si="0"/>
        <v>0</v>
      </c>
      <c r="M24" s="4">
        <f>SUMIFS(CAMPI!$AN$4:$AN$1307,CAMPI!$D$4:$D$1307,D24,CAMPI!$E$4:$E$1307,"ENSINO PRESENCIAL",CAMPI!$AO$4:$AO$1307,"PRESENCIAL")</f>
        <v>1462.4745722640228</v>
      </c>
      <c r="N24" s="4">
        <f>SUMIFS(CAMPI!$AN$4:$AN$1307,CAMPI!$D$4:$D$1307,D24,CAMPI!$E$4:$E$1307,"ENSINO A DISTANCIA",CAMPI!$AO$4:$AO$1307,"EAD")</f>
        <v>28.029884504150811</v>
      </c>
      <c r="O24" s="4">
        <f>SUMIFS(CAMPI!$AN$4:$AN$1307,CAMPI!$D$4:$D$1307,D24,CAMPI!$E$4:$E$1307,"ENSINO A DISTANCIA",CAMPI!$AO$4:$AO$1307,"EAD FP")</f>
        <v>148.84452821055274</v>
      </c>
    </row>
    <row r="26" spans="1:15" x14ac:dyDescent="0.25">
      <c r="D26" s="10"/>
    </row>
  </sheetData>
  <sheetProtection formatCells="0" formatColumns="0" formatRows="0" insertColumns="0" insertRows="0" insertHyperlinks="0" deleteColumns="0" deleteRows="0" sort="0" autoFilter="0" pivotTables="0"/>
  <autoFilter ref="C4:D4" xr:uid="{00000000-0009-0000-0000-000000000000}"/>
  <mergeCells count="5">
    <mergeCell ref="A2:N2"/>
    <mergeCell ref="J3:L3"/>
    <mergeCell ref="M3:O3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307"/>
  <sheetViews>
    <sheetView tabSelected="1" topLeftCell="AH1185" workbookViewId="0">
      <selection activeCell="AI1189" sqref="AI1189"/>
    </sheetView>
  </sheetViews>
  <sheetFormatPr defaultColWidth="0" defaultRowHeight="15" x14ac:dyDescent="0.25"/>
  <cols>
    <col min="1" max="1" width="4" style="1" customWidth="1"/>
    <col min="2" max="2" width="30.7109375" style="1" customWidth="1"/>
    <col min="3" max="3" width="20.28515625" style="1" customWidth="1"/>
    <col min="4" max="4" width="28.85546875" style="1" customWidth="1"/>
    <col min="5" max="5" width="21" style="1" customWidth="1"/>
    <col min="6" max="7" width="15.28515625" style="1" customWidth="1"/>
    <col min="8" max="8" width="50.7109375" style="1" customWidth="1"/>
    <col min="9" max="9" width="30.7109375" style="1" customWidth="1"/>
    <col min="10" max="12" width="15.7109375" style="1" customWidth="1"/>
    <col min="13" max="13" width="69.28515625" style="1" customWidth="1"/>
    <col min="14" max="15" width="15.7109375" style="8" customWidth="1"/>
    <col min="16" max="19" width="15.7109375" style="1" customWidth="1"/>
    <col min="20" max="20" width="2.7109375" style="1" customWidth="1"/>
    <col min="21" max="21" width="20.7109375" style="1" customWidth="1"/>
    <col min="22" max="24" width="20.7109375" style="7" customWidth="1"/>
    <col min="25" max="25" width="2.5703125" style="7" customWidth="1"/>
    <col min="26" max="26" width="20.7109375" style="7" customWidth="1"/>
    <col min="27" max="28" width="20.7109375" style="8" customWidth="1"/>
    <col min="29" max="29" width="20.7109375" style="1" customWidth="1"/>
    <col min="30" max="34" width="35.7109375" style="1" customWidth="1"/>
    <col min="35" max="39" width="35.7109375" style="5" customWidth="1"/>
    <col min="40" max="40" width="20.7109375" style="5" customWidth="1"/>
    <col min="41" max="41" width="24.85546875" style="1" customWidth="1"/>
    <col min="42" max="42" width="1.7109375" style="1" customWidth="1"/>
    <col min="43" max="43" width="9.140625" style="1" hidden="1" customWidth="1"/>
    <col min="44" max="44" width="35.28515625" style="1" hidden="1" customWidth="1"/>
    <col min="45" max="45" width="10.85546875" style="1" hidden="1" customWidth="1"/>
    <col min="46" max="46" width="54.7109375" style="1" hidden="1" customWidth="1"/>
    <col min="47" max="47" width="10.85546875" style="1" hidden="1" customWidth="1"/>
    <col min="48" max="48" width="9.140625" style="1" hidden="1" customWidth="1"/>
  </cols>
  <sheetData>
    <row r="1" spans="1:47" ht="46.5" hidden="1" customHeight="1" x14ac:dyDescent="0.25">
      <c r="N1" s="1"/>
      <c r="O1" s="1"/>
      <c r="R1" s="1">
        <f>IF(OR(G999987="QUALIFICACAO PROFISSIONAL (FIC)",G999987="DOUTORADO"),P999987,
    IF(ISNUMBER(FIND("PROEJA",K999987)),2400,
        IF(K999987="INTEGRADO",
            IF(Q999987=800,3000,
                IF(Q999987=1000,3100,
                    IF(Q999987=1200,3200,Q999987)
                )
            ),
            Q999987
        )
    )
)</f>
        <v>0</v>
      </c>
      <c r="U1" s="1">
        <f>O999987-N999987+1</f>
        <v>1</v>
      </c>
      <c r="V1" s="7" t="e">
        <f>IF(R999987&gt;P999987,P999987,R999987)/U999987</f>
        <v>#DIV/0!</v>
      </c>
      <c r="W1" s="7">
        <f>IF(U999987&gt;365,V999987*365,R999987)</f>
        <v>0</v>
      </c>
      <c r="X1" s="7">
        <f>IF(U999987&gt;365,W999987/800,R999987/800)</f>
        <v>0</v>
      </c>
      <c r="AD1" s="1">
        <f>IF(AND(N999987&lt;AA999987,O999987&gt;AB999987),AB999987-AA999987+1,0)</f>
        <v>0</v>
      </c>
      <c r="AE1" s="1">
        <f>IF(AND(N999987&gt;=AA999987,O999987&gt;AB999987,N999987&lt;AB999987),AB999987-N999987+1,0)</f>
        <v>0</v>
      </c>
      <c r="AF1" s="1">
        <f>IF(AND(N999987&lt;AA999987,O999987&lt;=AB999987,O999987&gt;=AA999987),O999987-AA999987+1,0)</f>
        <v>0</v>
      </c>
      <c r="AG1" s="1">
        <f>IF(AND(N999987&gt;=AA999987,O999987&lt;=AB999987),O999987-N999987+1,0)</f>
        <v>1</v>
      </c>
      <c r="AH1" s="1">
        <f>IF(AND(N999987&lt;AA999987,O999987&lt;AA999987),(AB999987-AA999987+1)/2,0)</f>
        <v>0</v>
      </c>
      <c r="AI1" s="9" t="e">
        <f>SUM(AD999987:AH999987)/IF(U999987&gt;=365,AB999987-AA999987+1,U999987)</f>
        <v>#DIV/0!</v>
      </c>
      <c r="AJ1" s="9">
        <f>X999987*AI999987</f>
        <v>0</v>
      </c>
      <c r="AK1" s="9">
        <f>IF(AH999987=0,AJ999987*AC999987,IF(AA999987-O999987&gt;1095,0,AJ999987*(AC999987/2)))</f>
        <v>0</v>
      </c>
      <c r="AL1" s="9">
        <f>AK999987*S999987</f>
        <v>0</v>
      </c>
      <c r="AM1" s="9">
        <f>IF(J999987="SIM",AL999987*50%,0)</f>
        <v>0</v>
      </c>
      <c r="AN1" s="5">
        <f>AL999987+AM999987</f>
        <v>0</v>
      </c>
      <c r="AO1" s="1" t="str">
        <f>IF(NOT(ISNA(MATCH(E999987&amp;" - "&amp;F999987,$AT$4:$AT$12,0))),INDEX($AU$4:$AU$12,MATCH(E999987&amp;" - "&amp;F999987,$AT$4:$AT$12,0)),"DESCONSIDERADO")</f>
        <v>DESCONSIDERADO</v>
      </c>
    </row>
    <row r="2" spans="1:47" ht="40.5" customHeight="1" x14ac:dyDescent="0.25">
      <c r="A2" s="53" t="s">
        <v>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7" s="13" customFormat="1" ht="78.599999999999994" customHeight="1" thickBot="1" x14ac:dyDescent="0.25">
      <c r="A3" s="14" t="s">
        <v>4</v>
      </c>
      <c r="B3" s="15" t="s">
        <v>5</v>
      </c>
      <c r="C3" s="27" t="s">
        <v>6</v>
      </c>
      <c r="D3" s="27" t="s">
        <v>7</v>
      </c>
      <c r="E3" s="15" t="s">
        <v>61</v>
      </c>
      <c r="F3" s="16" t="s">
        <v>62</v>
      </c>
      <c r="G3" s="15" t="s">
        <v>63</v>
      </c>
      <c r="H3" s="16" t="s">
        <v>64</v>
      </c>
      <c r="I3" s="16" t="s">
        <v>65</v>
      </c>
      <c r="J3" s="16" t="s">
        <v>66</v>
      </c>
      <c r="K3" s="16" t="s">
        <v>67</v>
      </c>
      <c r="L3" s="15" t="s">
        <v>68</v>
      </c>
      <c r="M3" s="15" t="s">
        <v>69</v>
      </c>
      <c r="N3" s="16" t="s">
        <v>70</v>
      </c>
      <c r="O3" s="16" t="s">
        <v>71</v>
      </c>
      <c r="P3" s="15" t="s">
        <v>72</v>
      </c>
      <c r="Q3" s="16" t="s">
        <v>73</v>
      </c>
      <c r="R3" s="16" t="s">
        <v>74</v>
      </c>
      <c r="S3" s="17" t="s">
        <v>75</v>
      </c>
      <c r="T3" s="22"/>
      <c r="U3" s="18" t="s">
        <v>76</v>
      </c>
      <c r="V3" s="19" t="s">
        <v>77</v>
      </c>
      <c r="W3" s="16" t="s">
        <v>78</v>
      </c>
      <c r="X3" s="20" t="s">
        <v>79</v>
      </c>
      <c r="Y3" s="21"/>
      <c r="Z3" s="20" t="s">
        <v>80</v>
      </c>
      <c r="AA3" s="15" t="s">
        <v>81</v>
      </c>
      <c r="AB3" s="16" t="s">
        <v>82</v>
      </c>
      <c r="AC3" s="26" t="s">
        <v>83</v>
      </c>
      <c r="AD3" s="20" t="s">
        <v>84</v>
      </c>
      <c r="AE3" s="19" t="s">
        <v>85</v>
      </c>
      <c r="AF3" s="19" t="s">
        <v>86</v>
      </c>
      <c r="AG3" s="20" t="s">
        <v>87</v>
      </c>
      <c r="AH3" s="20" t="s">
        <v>88</v>
      </c>
      <c r="AI3" s="20" t="s">
        <v>89</v>
      </c>
      <c r="AJ3" s="20" t="s">
        <v>90</v>
      </c>
      <c r="AK3" s="20" t="s">
        <v>91</v>
      </c>
      <c r="AL3" s="20" t="s">
        <v>92</v>
      </c>
      <c r="AM3" s="20" t="s">
        <v>93</v>
      </c>
      <c r="AN3" s="23" t="s">
        <v>94</v>
      </c>
      <c r="AO3" s="20" t="s">
        <v>95</v>
      </c>
    </row>
    <row r="4" spans="1:47" ht="15.75" thickTop="1" x14ac:dyDescent="0.25">
      <c r="A4" s="1" t="s">
        <v>19</v>
      </c>
      <c r="B4" s="1" t="s">
        <v>20</v>
      </c>
      <c r="C4" s="1" t="s">
        <v>21</v>
      </c>
      <c r="D4" s="1" t="s">
        <v>22</v>
      </c>
      <c r="E4" s="1" t="s">
        <v>96</v>
      </c>
      <c r="F4" s="1" t="s">
        <v>103</v>
      </c>
      <c r="G4" s="1" t="s">
        <v>98</v>
      </c>
      <c r="H4" s="1" t="s">
        <v>104</v>
      </c>
      <c r="I4" s="1" t="s">
        <v>105</v>
      </c>
      <c r="J4" s="1" t="s">
        <v>106</v>
      </c>
      <c r="L4" s="1">
        <v>2018146</v>
      </c>
      <c r="M4" s="1" t="s">
        <v>107</v>
      </c>
      <c r="N4" s="8">
        <f>DATE(2016,2,15)</f>
        <v>42415</v>
      </c>
      <c r="O4" s="8">
        <f>DATE(2020,12,22)</f>
        <v>44187</v>
      </c>
      <c r="P4" s="1">
        <v>4028</v>
      </c>
      <c r="Q4" s="1">
        <v>3600</v>
      </c>
      <c r="R4" s="1">
        <f t="shared" ref="R4:R66" si="0">IF(OR(G4="QUALIFICACAO PROFISSIONAL (FIC)",G4="DOUTORADO"),P4,
    IF(ISNUMBER(FIND("PROEJA",K4)),2400,
        IF(K4="INTEGRADO",
            IF(Q4=800,3000,
                IF(Q4=1000,3100,
                    IF(Q4=1200,3200,Q4)
                )
            ),
            Q4
        )
    )
)</f>
        <v>3600</v>
      </c>
      <c r="S4" s="1">
        <v>2.5</v>
      </c>
      <c r="U4" s="1">
        <f t="shared" ref="U4:U66" si="1">O4-N4+1</f>
        <v>1773</v>
      </c>
      <c r="V4" s="7">
        <f t="shared" ref="V4:V66" si="2">IF(R4&gt;P4,P4,R4)/U4</f>
        <v>2.030456852791878</v>
      </c>
      <c r="W4" s="7">
        <f t="shared" ref="W4:W66" si="3">IF(U4&gt;365,V4*365,R4)</f>
        <v>741.11675126903549</v>
      </c>
      <c r="X4" s="7">
        <f t="shared" ref="X4:X66" si="4">IF(U4&gt;365,W4/800,R4/800)</f>
        <v>0.92639593908629436</v>
      </c>
      <c r="AA4" s="8">
        <f t="shared" ref="AA4:AA66" si="5">DATE(2023,1,1)</f>
        <v>44927</v>
      </c>
      <c r="AB4" s="8">
        <f t="shared" ref="AB4:AB66" si="6">DATE(2023,12,31)</f>
        <v>45291</v>
      </c>
      <c r="AC4" s="1">
        <v>1</v>
      </c>
      <c r="AD4" s="1">
        <f t="shared" ref="AD4:AD66" si="7">IF(AND(N4&lt;AA4,O4&gt;AB4),AB4-AA4+1,0)</f>
        <v>0</v>
      </c>
      <c r="AE4" s="1">
        <f t="shared" ref="AE4:AE66" si="8">IF(AND(N4&gt;=AA4,O4&gt;AB4,N4&lt;AB4),AB4-N4+1,0)</f>
        <v>0</v>
      </c>
      <c r="AF4" s="1">
        <f t="shared" ref="AF4:AF66" si="9">IF(AND(N4&lt;AA4,O4&lt;=AB4,O4&gt;=AA4),O4-AA4+1,0)</f>
        <v>0</v>
      </c>
      <c r="AG4" s="1">
        <f t="shared" ref="AG4:AG66" si="10">IF(AND(N4&gt;=AA4,O4&lt;=AB4),O4-N4+1,0)</f>
        <v>0</v>
      </c>
      <c r="AH4" s="1">
        <f t="shared" ref="AH4:AH66" si="11">IF(AND(N4&lt;AA4,O4&lt;AA4),(AB4-AA4+1)/2,0)</f>
        <v>182.5</v>
      </c>
      <c r="AI4" s="5">
        <f t="shared" ref="AI4:AI66" si="12">SUM(AD4:AH4)/IF(U4&gt;=365,AB4-AA4+1,U4)</f>
        <v>0.5</v>
      </c>
      <c r="AJ4" s="5">
        <f t="shared" ref="AJ4:AJ66" si="13">X4*AI4</f>
        <v>0.46319796954314718</v>
      </c>
      <c r="AK4" s="5">
        <f t="shared" ref="AK4:AK66" si="14">IF(AH4=0,AJ4*AC4,IF(AA4-O4&gt;1095,0,AJ4*(AC4/2)))</f>
        <v>0.23159898477157359</v>
      </c>
      <c r="AL4" s="5">
        <f t="shared" ref="AL4:AL66" si="15">AK4*S4</f>
        <v>0.57899746192893398</v>
      </c>
      <c r="AM4" s="5">
        <f t="shared" ref="AM4:AM66" si="16">IF(J4="SIM",AL4*50%,0)</f>
        <v>0.28949873096446699</v>
      </c>
      <c r="AN4" s="5">
        <f t="shared" ref="AN4:AN66" si="17">AL4+AM4</f>
        <v>0.86849619289340096</v>
      </c>
      <c r="AO4" s="1" t="s">
        <v>102</v>
      </c>
      <c r="AT4" s="1" t="s">
        <v>108</v>
      </c>
      <c r="AU4" s="1" t="s">
        <v>102</v>
      </c>
    </row>
    <row r="5" spans="1:47" x14ac:dyDescent="0.25">
      <c r="A5" s="1" t="s">
        <v>19</v>
      </c>
      <c r="B5" s="1" t="s">
        <v>20</v>
      </c>
      <c r="C5" s="1" t="s">
        <v>21</v>
      </c>
      <c r="D5" s="1" t="s">
        <v>22</v>
      </c>
      <c r="E5" s="1" t="s">
        <v>96</v>
      </c>
      <c r="F5" s="1" t="s">
        <v>103</v>
      </c>
      <c r="G5" s="1" t="s">
        <v>98</v>
      </c>
      <c r="H5" s="1" t="s">
        <v>99</v>
      </c>
      <c r="I5" s="1" t="s">
        <v>100</v>
      </c>
      <c r="J5" s="1" t="s">
        <v>101</v>
      </c>
      <c r="L5" s="1">
        <v>2140930</v>
      </c>
      <c r="M5" s="1" t="s">
        <v>109</v>
      </c>
      <c r="N5" s="8">
        <f>DATE(2017,2,13)</f>
        <v>42779</v>
      </c>
      <c r="O5" s="8">
        <f>DATE(2020,12,31)</f>
        <v>44196</v>
      </c>
      <c r="P5" s="1">
        <v>3120</v>
      </c>
      <c r="Q5" s="1">
        <v>3000</v>
      </c>
      <c r="R5" s="1">
        <f t="shared" si="0"/>
        <v>3000</v>
      </c>
      <c r="S5" s="1">
        <v>1</v>
      </c>
      <c r="U5" s="1">
        <f t="shared" si="1"/>
        <v>1418</v>
      </c>
      <c r="V5" s="7">
        <f t="shared" si="2"/>
        <v>2.1156558533145273</v>
      </c>
      <c r="W5" s="7">
        <f t="shared" si="3"/>
        <v>772.21438645980243</v>
      </c>
      <c r="X5" s="7">
        <f t="shared" si="4"/>
        <v>0.96526798307475303</v>
      </c>
      <c r="AA5" s="8">
        <f t="shared" si="5"/>
        <v>44927</v>
      </c>
      <c r="AB5" s="8">
        <f t="shared" si="6"/>
        <v>45291</v>
      </c>
      <c r="AC5" s="1">
        <v>18</v>
      </c>
      <c r="AD5" s="1">
        <f t="shared" si="7"/>
        <v>0</v>
      </c>
      <c r="AE5" s="1">
        <f t="shared" si="8"/>
        <v>0</v>
      </c>
      <c r="AF5" s="1">
        <f t="shared" si="9"/>
        <v>0</v>
      </c>
      <c r="AG5" s="1">
        <f t="shared" si="10"/>
        <v>0</v>
      </c>
      <c r="AH5" s="1">
        <f t="shared" si="11"/>
        <v>182.5</v>
      </c>
      <c r="AI5" s="5">
        <f t="shared" si="12"/>
        <v>0.5</v>
      </c>
      <c r="AJ5" s="5">
        <f t="shared" si="13"/>
        <v>0.48263399153737652</v>
      </c>
      <c r="AK5" s="5">
        <f t="shared" si="14"/>
        <v>4.3437059238363886</v>
      </c>
      <c r="AL5" s="5">
        <f t="shared" si="15"/>
        <v>4.3437059238363886</v>
      </c>
      <c r="AM5" s="5">
        <f t="shared" si="16"/>
        <v>0</v>
      </c>
      <c r="AN5" s="5">
        <f t="shared" si="17"/>
        <v>4.3437059238363886</v>
      </c>
      <c r="AO5" s="1" t="s">
        <v>102</v>
      </c>
      <c r="AT5" s="1" t="s">
        <v>110</v>
      </c>
      <c r="AU5" s="1" t="s">
        <v>111</v>
      </c>
    </row>
    <row r="6" spans="1:47" x14ac:dyDescent="0.25">
      <c r="A6" s="1" t="s">
        <v>19</v>
      </c>
      <c r="B6" s="1" t="s">
        <v>20</v>
      </c>
      <c r="C6" s="1" t="s">
        <v>21</v>
      </c>
      <c r="D6" s="1" t="s">
        <v>22</v>
      </c>
      <c r="E6" s="1" t="s">
        <v>96</v>
      </c>
      <c r="F6" s="1" t="s">
        <v>103</v>
      </c>
      <c r="G6" s="1" t="s">
        <v>98</v>
      </c>
      <c r="H6" s="1" t="s">
        <v>104</v>
      </c>
      <c r="I6" s="1" t="s">
        <v>105</v>
      </c>
      <c r="J6" s="1" t="s">
        <v>106</v>
      </c>
      <c r="L6" s="1">
        <v>2140931</v>
      </c>
      <c r="M6" s="1" t="s">
        <v>112</v>
      </c>
      <c r="N6" s="8">
        <f>DATE(2017,2,13)</f>
        <v>42779</v>
      </c>
      <c r="O6" s="8">
        <f>DATE(2021,12,31)</f>
        <v>44561</v>
      </c>
      <c r="P6" s="1">
        <v>4028</v>
      </c>
      <c r="Q6" s="1">
        <v>3600</v>
      </c>
      <c r="R6" s="1">
        <f t="shared" si="0"/>
        <v>3600</v>
      </c>
      <c r="S6" s="1">
        <v>2.5</v>
      </c>
      <c r="U6" s="1">
        <f t="shared" si="1"/>
        <v>1783</v>
      </c>
      <c r="V6" s="7">
        <f t="shared" si="2"/>
        <v>2.0190689848569825</v>
      </c>
      <c r="W6" s="7">
        <f t="shared" si="3"/>
        <v>736.96017947279859</v>
      </c>
      <c r="X6" s="7">
        <f t="shared" si="4"/>
        <v>0.92120022434099824</v>
      </c>
      <c r="AA6" s="8">
        <f t="shared" si="5"/>
        <v>44927</v>
      </c>
      <c r="AB6" s="8">
        <f t="shared" si="6"/>
        <v>45291</v>
      </c>
      <c r="AC6" s="1">
        <v>19</v>
      </c>
      <c r="AD6" s="1">
        <f t="shared" si="7"/>
        <v>0</v>
      </c>
      <c r="AE6" s="1">
        <f t="shared" si="8"/>
        <v>0</v>
      </c>
      <c r="AF6" s="1">
        <f t="shared" si="9"/>
        <v>0</v>
      </c>
      <c r="AG6" s="1">
        <f t="shared" si="10"/>
        <v>0</v>
      </c>
      <c r="AH6" s="1">
        <f t="shared" si="11"/>
        <v>182.5</v>
      </c>
      <c r="AI6" s="5">
        <f t="shared" si="12"/>
        <v>0.5</v>
      </c>
      <c r="AJ6" s="5">
        <f t="shared" si="13"/>
        <v>0.46060011217049912</v>
      </c>
      <c r="AK6" s="5">
        <f t="shared" si="14"/>
        <v>4.3757010656197419</v>
      </c>
      <c r="AL6" s="5">
        <f t="shared" si="15"/>
        <v>10.939252664049356</v>
      </c>
      <c r="AM6" s="5">
        <f t="shared" si="16"/>
        <v>5.4696263320246779</v>
      </c>
      <c r="AN6" s="5">
        <f t="shared" si="17"/>
        <v>16.408878996074034</v>
      </c>
      <c r="AO6" s="1" t="s">
        <v>102</v>
      </c>
      <c r="AT6" s="1" t="s">
        <v>113</v>
      </c>
      <c r="AU6" s="1" t="s">
        <v>111</v>
      </c>
    </row>
    <row r="7" spans="1:47" x14ac:dyDescent="0.25">
      <c r="A7" s="1" t="s">
        <v>19</v>
      </c>
      <c r="B7" s="1" t="s">
        <v>20</v>
      </c>
      <c r="C7" s="1" t="s">
        <v>21</v>
      </c>
      <c r="D7" s="1" t="s">
        <v>22</v>
      </c>
      <c r="E7" s="1" t="s">
        <v>96</v>
      </c>
      <c r="F7" s="1" t="s">
        <v>103</v>
      </c>
      <c r="G7" s="1" t="s">
        <v>114</v>
      </c>
      <c r="H7" s="1" t="s">
        <v>115</v>
      </c>
      <c r="I7" s="1" t="s">
        <v>100</v>
      </c>
      <c r="J7" s="1" t="s">
        <v>101</v>
      </c>
      <c r="K7" s="1" t="s">
        <v>116</v>
      </c>
      <c r="L7" s="1">
        <v>2141028</v>
      </c>
      <c r="M7" s="1" t="s">
        <v>117</v>
      </c>
      <c r="N7" s="8">
        <f>DATE(2017,2,13)</f>
        <v>42779</v>
      </c>
      <c r="O7" s="8">
        <f>DATE(2019,12,30)</f>
        <v>43829</v>
      </c>
      <c r="P7" s="1">
        <v>3486</v>
      </c>
      <c r="Q7" s="1">
        <v>800</v>
      </c>
      <c r="R7" s="1">
        <f t="shared" si="0"/>
        <v>3000</v>
      </c>
      <c r="S7" s="1">
        <v>1.5</v>
      </c>
      <c r="U7" s="1">
        <f t="shared" si="1"/>
        <v>1051</v>
      </c>
      <c r="V7" s="7">
        <f t="shared" si="2"/>
        <v>2.8544243577545196</v>
      </c>
      <c r="W7" s="7">
        <f t="shared" si="3"/>
        <v>1041.8648905803996</v>
      </c>
      <c r="X7" s="7">
        <f t="shared" si="4"/>
        <v>1.3023311132254995</v>
      </c>
      <c r="AA7" s="8">
        <f t="shared" si="5"/>
        <v>44927</v>
      </c>
      <c r="AB7" s="8">
        <f t="shared" si="6"/>
        <v>45291</v>
      </c>
      <c r="AC7" s="1">
        <v>0</v>
      </c>
      <c r="AD7" s="1">
        <f t="shared" si="7"/>
        <v>0</v>
      </c>
      <c r="AE7" s="1">
        <f t="shared" si="8"/>
        <v>0</v>
      </c>
      <c r="AF7" s="1">
        <f t="shared" si="9"/>
        <v>0</v>
      </c>
      <c r="AG7" s="1">
        <f t="shared" si="10"/>
        <v>0</v>
      </c>
      <c r="AH7" s="1">
        <f t="shared" si="11"/>
        <v>182.5</v>
      </c>
      <c r="AI7" s="5">
        <f t="shared" si="12"/>
        <v>0.5</v>
      </c>
      <c r="AJ7" s="5">
        <f t="shared" si="13"/>
        <v>0.65116555661274977</v>
      </c>
      <c r="AK7" s="5">
        <f t="shared" si="14"/>
        <v>0</v>
      </c>
      <c r="AL7" s="5">
        <f t="shared" si="15"/>
        <v>0</v>
      </c>
      <c r="AM7" s="5">
        <f t="shared" si="16"/>
        <v>0</v>
      </c>
      <c r="AN7" s="5">
        <f t="shared" si="17"/>
        <v>0</v>
      </c>
      <c r="AO7" s="1" t="s">
        <v>102</v>
      </c>
      <c r="AT7" s="1" t="s">
        <v>118</v>
      </c>
      <c r="AU7" s="1" t="s">
        <v>111</v>
      </c>
    </row>
    <row r="8" spans="1:47" x14ac:dyDescent="0.25">
      <c r="A8" s="1" t="s">
        <v>19</v>
      </c>
      <c r="B8" s="1" t="s">
        <v>20</v>
      </c>
      <c r="C8" s="1" t="s">
        <v>21</v>
      </c>
      <c r="D8" s="1" t="s">
        <v>22</v>
      </c>
      <c r="E8" s="1" t="s">
        <v>96</v>
      </c>
      <c r="F8" s="1" t="s">
        <v>103</v>
      </c>
      <c r="G8" s="1" t="s">
        <v>114</v>
      </c>
      <c r="H8" s="1" t="s">
        <v>119</v>
      </c>
      <c r="I8" s="1" t="s">
        <v>105</v>
      </c>
      <c r="J8" s="1" t="s">
        <v>106</v>
      </c>
      <c r="K8" s="1" t="s">
        <v>116</v>
      </c>
      <c r="L8" s="1">
        <v>2467896</v>
      </c>
      <c r="M8" s="1" t="s">
        <v>120</v>
      </c>
      <c r="N8" s="8">
        <f>DATE(2018,2,5)</f>
        <v>43136</v>
      </c>
      <c r="O8" s="8">
        <f>DATE(2021,12,30)</f>
        <v>44560</v>
      </c>
      <c r="P8" s="1">
        <v>3486</v>
      </c>
      <c r="Q8" s="1">
        <v>1200</v>
      </c>
      <c r="R8" s="1">
        <f t="shared" si="0"/>
        <v>3200</v>
      </c>
      <c r="S8" s="1">
        <v>2.5</v>
      </c>
      <c r="U8" s="1">
        <f t="shared" si="1"/>
        <v>1425</v>
      </c>
      <c r="V8" s="7">
        <f t="shared" si="2"/>
        <v>2.2456140350877192</v>
      </c>
      <c r="W8" s="7">
        <f t="shared" si="3"/>
        <v>819.64912280701753</v>
      </c>
      <c r="X8" s="7">
        <f t="shared" si="4"/>
        <v>1.024561403508772</v>
      </c>
      <c r="AA8" s="8">
        <f t="shared" si="5"/>
        <v>44927</v>
      </c>
      <c r="AB8" s="8">
        <f t="shared" si="6"/>
        <v>45291</v>
      </c>
      <c r="AC8" s="1">
        <v>8</v>
      </c>
      <c r="AD8" s="1">
        <f t="shared" si="7"/>
        <v>0</v>
      </c>
      <c r="AE8" s="1">
        <f t="shared" si="8"/>
        <v>0</v>
      </c>
      <c r="AF8" s="1">
        <f t="shared" si="9"/>
        <v>0</v>
      </c>
      <c r="AG8" s="1">
        <f t="shared" si="10"/>
        <v>0</v>
      </c>
      <c r="AH8" s="1">
        <f t="shared" si="11"/>
        <v>182.5</v>
      </c>
      <c r="AI8" s="5">
        <f t="shared" si="12"/>
        <v>0.5</v>
      </c>
      <c r="AJ8" s="5">
        <f t="shared" si="13"/>
        <v>0.512280701754386</v>
      </c>
      <c r="AK8" s="5">
        <f t="shared" si="14"/>
        <v>2.049122807017544</v>
      </c>
      <c r="AL8" s="5">
        <f t="shared" si="15"/>
        <v>5.1228070175438596</v>
      </c>
      <c r="AM8" s="5">
        <f t="shared" si="16"/>
        <v>2.5614035087719298</v>
      </c>
      <c r="AN8" s="5">
        <f t="shared" si="17"/>
        <v>7.6842105263157894</v>
      </c>
      <c r="AO8" s="1" t="s">
        <v>102</v>
      </c>
      <c r="AT8" s="1" t="s">
        <v>121</v>
      </c>
      <c r="AU8" s="1" t="s">
        <v>122</v>
      </c>
    </row>
    <row r="9" spans="1:47" x14ac:dyDescent="0.25">
      <c r="A9" s="1" t="s">
        <v>19</v>
      </c>
      <c r="B9" s="1" t="s">
        <v>20</v>
      </c>
      <c r="C9" s="1" t="s">
        <v>21</v>
      </c>
      <c r="D9" s="1" t="s">
        <v>22</v>
      </c>
      <c r="E9" s="1" t="s">
        <v>96</v>
      </c>
      <c r="F9" s="1" t="s">
        <v>103</v>
      </c>
      <c r="G9" s="1" t="s">
        <v>98</v>
      </c>
      <c r="H9" s="1" t="s">
        <v>99</v>
      </c>
      <c r="I9" s="1" t="s">
        <v>100</v>
      </c>
      <c r="J9" s="1" t="s">
        <v>101</v>
      </c>
      <c r="L9" s="1">
        <v>2473335</v>
      </c>
      <c r="M9" s="1" t="s">
        <v>123</v>
      </c>
      <c r="N9" s="8">
        <f>DATE(2018,2,5)</f>
        <v>43136</v>
      </c>
      <c r="O9" s="8">
        <f>DATE(2021,12,30)</f>
        <v>44560</v>
      </c>
      <c r="P9" s="1">
        <v>3120</v>
      </c>
      <c r="Q9" s="1">
        <v>3000</v>
      </c>
      <c r="R9" s="1">
        <f t="shared" si="0"/>
        <v>3000</v>
      </c>
      <c r="S9" s="1">
        <v>1</v>
      </c>
      <c r="U9" s="1">
        <f t="shared" si="1"/>
        <v>1425</v>
      </c>
      <c r="V9" s="7">
        <f t="shared" si="2"/>
        <v>2.1052631578947367</v>
      </c>
      <c r="W9" s="7">
        <f t="shared" si="3"/>
        <v>768.42105263157896</v>
      </c>
      <c r="X9" s="7">
        <f t="shared" si="4"/>
        <v>0.96052631578947367</v>
      </c>
      <c r="AA9" s="8">
        <f t="shared" si="5"/>
        <v>44927</v>
      </c>
      <c r="AB9" s="8">
        <f t="shared" si="6"/>
        <v>45291</v>
      </c>
      <c r="AC9" s="1">
        <v>20</v>
      </c>
      <c r="AD9" s="1">
        <f t="shared" si="7"/>
        <v>0</v>
      </c>
      <c r="AE9" s="1">
        <f t="shared" si="8"/>
        <v>0</v>
      </c>
      <c r="AF9" s="1">
        <f t="shared" si="9"/>
        <v>0</v>
      </c>
      <c r="AG9" s="1">
        <f t="shared" si="10"/>
        <v>0</v>
      </c>
      <c r="AH9" s="1">
        <f t="shared" si="11"/>
        <v>182.5</v>
      </c>
      <c r="AI9" s="5">
        <f t="shared" si="12"/>
        <v>0.5</v>
      </c>
      <c r="AJ9" s="5">
        <f t="shared" si="13"/>
        <v>0.48026315789473684</v>
      </c>
      <c r="AK9" s="5">
        <f t="shared" si="14"/>
        <v>4.8026315789473681</v>
      </c>
      <c r="AL9" s="5">
        <f t="shared" si="15"/>
        <v>4.8026315789473681</v>
      </c>
      <c r="AM9" s="5">
        <f t="shared" si="16"/>
        <v>0</v>
      </c>
      <c r="AN9" s="5">
        <f t="shared" si="17"/>
        <v>4.8026315789473681</v>
      </c>
      <c r="AO9" s="1" t="s">
        <v>102</v>
      </c>
      <c r="AT9" s="1" t="s">
        <v>124</v>
      </c>
      <c r="AU9" s="1" t="s">
        <v>122</v>
      </c>
    </row>
    <row r="10" spans="1:47" x14ac:dyDescent="0.25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96</v>
      </c>
      <c r="F10" s="1" t="s">
        <v>103</v>
      </c>
      <c r="G10" s="1" t="s">
        <v>98</v>
      </c>
      <c r="H10" s="1" t="s">
        <v>104</v>
      </c>
      <c r="I10" s="1" t="s">
        <v>105</v>
      </c>
      <c r="J10" s="1" t="s">
        <v>106</v>
      </c>
      <c r="L10" s="1">
        <v>2475826</v>
      </c>
      <c r="M10" s="1" t="s">
        <v>125</v>
      </c>
      <c r="N10" s="8">
        <f>DATE(2018,2,5)</f>
        <v>43136</v>
      </c>
      <c r="O10" s="8">
        <f>DATE(2022,12,30)</f>
        <v>44925</v>
      </c>
      <c r="P10" s="1">
        <v>4028</v>
      </c>
      <c r="Q10" s="1">
        <v>3600</v>
      </c>
      <c r="R10" s="1">
        <f t="shared" si="0"/>
        <v>3600</v>
      </c>
      <c r="S10" s="1">
        <v>2.5</v>
      </c>
      <c r="U10" s="1">
        <f t="shared" si="1"/>
        <v>1790</v>
      </c>
      <c r="V10" s="7">
        <f t="shared" si="2"/>
        <v>2.011173184357542</v>
      </c>
      <c r="W10" s="7">
        <f t="shared" si="3"/>
        <v>734.07821229050285</v>
      </c>
      <c r="X10" s="7">
        <f t="shared" si="4"/>
        <v>0.91759776536312854</v>
      </c>
      <c r="AA10" s="8">
        <f t="shared" si="5"/>
        <v>44927</v>
      </c>
      <c r="AB10" s="8">
        <f t="shared" si="6"/>
        <v>45291</v>
      </c>
      <c r="AC10" s="1">
        <v>15</v>
      </c>
      <c r="AD10" s="1">
        <f t="shared" si="7"/>
        <v>0</v>
      </c>
      <c r="AE10" s="1">
        <f t="shared" si="8"/>
        <v>0</v>
      </c>
      <c r="AF10" s="1">
        <f t="shared" si="9"/>
        <v>0</v>
      </c>
      <c r="AG10" s="1">
        <f t="shared" si="10"/>
        <v>0</v>
      </c>
      <c r="AH10" s="1">
        <f t="shared" si="11"/>
        <v>182.5</v>
      </c>
      <c r="AI10" s="5">
        <f t="shared" si="12"/>
        <v>0.5</v>
      </c>
      <c r="AJ10" s="5">
        <f t="shared" si="13"/>
        <v>0.45879888268156427</v>
      </c>
      <c r="AK10" s="5">
        <f t="shared" si="14"/>
        <v>3.4409916201117321</v>
      </c>
      <c r="AL10" s="5">
        <f t="shared" si="15"/>
        <v>8.6024790502793298</v>
      </c>
      <c r="AM10" s="5">
        <f t="shared" si="16"/>
        <v>4.3012395251396649</v>
      </c>
      <c r="AN10" s="5">
        <f t="shared" si="17"/>
        <v>12.903718575418996</v>
      </c>
      <c r="AO10" s="1" t="s">
        <v>102</v>
      </c>
      <c r="AT10" s="1" t="s">
        <v>126</v>
      </c>
      <c r="AU10" s="1" t="s">
        <v>111</v>
      </c>
    </row>
    <row r="11" spans="1:47" x14ac:dyDescent="0.25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96</v>
      </c>
      <c r="F11" s="1" t="s">
        <v>103</v>
      </c>
      <c r="G11" s="1" t="s">
        <v>127</v>
      </c>
      <c r="H11" s="1" t="s">
        <v>128</v>
      </c>
      <c r="I11" s="1" t="s">
        <v>100</v>
      </c>
      <c r="J11" s="1" t="s">
        <v>101</v>
      </c>
      <c r="L11" s="1">
        <v>2523200</v>
      </c>
      <c r="M11" s="1" t="s">
        <v>129</v>
      </c>
      <c r="N11" s="8">
        <f>DATE(2018,7,30)</f>
        <v>43311</v>
      </c>
      <c r="O11" s="8">
        <f>DATE(2020,7,30)</f>
        <v>44042</v>
      </c>
      <c r="P11" s="1">
        <v>1600</v>
      </c>
      <c r="Q11" s="1">
        <v>1600</v>
      </c>
      <c r="R11" s="1">
        <f t="shared" si="0"/>
        <v>1600</v>
      </c>
      <c r="S11" s="1">
        <v>1</v>
      </c>
      <c r="U11" s="1">
        <f t="shared" si="1"/>
        <v>732</v>
      </c>
      <c r="V11" s="7">
        <f t="shared" si="2"/>
        <v>2.1857923497267762</v>
      </c>
      <c r="W11" s="7">
        <f t="shared" si="3"/>
        <v>797.81420765027326</v>
      </c>
      <c r="X11" s="7">
        <f t="shared" si="4"/>
        <v>0.99726775956284153</v>
      </c>
      <c r="AA11" s="8">
        <f t="shared" si="5"/>
        <v>44927</v>
      </c>
      <c r="AB11" s="8">
        <f t="shared" si="6"/>
        <v>45291</v>
      </c>
      <c r="AC11" s="1">
        <v>4</v>
      </c>
      <c r="AD11" s="1">
        <f t="shared" si="7"/>
        <v>0</v>
      </c>
      <c r="AE11" s="1">
        <f t="shared" si="8"/>
        <v>0</v>
      </c>
      <c r="AF11" s="1">
        <f t="shared" si="9"/>
        <v>0</v>
      </c>
      <c r="AG11" s="1">
        <f t="shared" si="10"/>
        <v>0</v>
      </c>
      <c r="AH11" s="1">
        <f t="shared" si="11"/>
        <v>182.5</v>
      </c>
      <c r="AI11" s="5">
        <f t="shared" si="12"/>
        <v>0.5</v>
      </c>
      <c r="AJ11" s="5">
        <f t="shared" si="13"/>
        <v>0.49863387978142076</v>
      </c>
      <c r="AK11" s="5">
        <f t="shared" si="14"/>
        <v>0.99726775956284153</v>
      </c>
      <c r="AL11" s="5">
        <f t="shared" si="15"/>
        <v>0.99726775956284153</v>
      </c>
      <c r="AM11" s="5">
        <f t="shared" si="16"/>
        <v>0</v>
      </c>
      <c r="AN11" s="5">
        <f t="shared" si="17"/>
        <v>0.99726775956284153</v>
      </c>
      <c r="AO11" s="1" t="s">
        <v>102</v>
      </c>
      <c r="AT11" s="1" t="s">
        <v>130</v>
      </c>
      <c r="AU11" s="1" t="s">
        <v>122</v>
      </c>
    </row>
    <row r="12" spans="1:47" x14ac:dyDescent="0.25">
      <c r="A12" s="11" t="s">
        <v>19</v>
      </c>
      <c r="B12" s="1" t="s">
        <v>20</v>
      </c>
      <c r="C12" s="1" t="s">
        <v>21</v>
      </c>
      <c r="D12" s="1" t="s">
        <v>22</v>
      </c>
      <c r="E12" s="1" t="s">
        <v>96</v>
      </c>
      <c r="F12" s="1" t="s">
        <v>103</v>
      </c>
      <c r="G12" s="1" t="s">
        <v>114</v>
      </c>
      <c r="H12" s="1" t="s">
        <v>115</v>
      </c>
      <c r="I12" s="1" t="s">
        <v>100</v>
      </c>
      <c r="J12" s="1" t="s">
        <v>101</v>
      </c>
      <c r="K12" s="1" t="s">
        <v>116</v>
      </c>
      <c r="L12" s="1">
        <v>2570676</v>
      </c>
      <c r="M12" s="1" t="s">
        <v>131</v>
      </c>
      <c r="N12" s="8">
        <f>DATE(2019,2,4)</f>
        <v>43500</v>
      </c>
      <c r="O12" s="8">
        <f>DATE(2021,12,30)</f>
        <v>44560</v>
      </c>
      <c r="P12" s="1">
        <v>3486</v>
      </c>
      <c r="Q12" s="1">
        <v>800</v>
      </c>
      <c r="R12" s="1">
        <f t="shared" si="0"/>
        <v>3000</v>
      </c>
      <c r="S12" s="1">
        <v>1.5</v>
      </c>
      <c r="U12" s="1">
        <f t="shared" si="1"/>
        <v>1061</v>
      </c>
      <c r="V12" s="7">
        <f t="shared" si="2"/>
        <v>2.827521206409048</v>
      </c>
      <c r="W12" s="7">
        <f t="shared" si="3"/>
        <v>1032.0452403393026</v>
      </c>
      <c r="X12" s="7">
        <f t="shared" si="4"/>
        <v>1.2900565504241284</v>
      </c>
      <c r="AA12" s="8">
        <f t="shared" si="5"/>
        <v>44927</v>
      </c>
      <c r="AB12" s="8">
        <f t="shared" si="6"/>
        <v>45291</v>
      </c>
      <c r="AC12" s="1">
        <v>13</v>
      </c>
      <c r="AD12" s="1">
        <f t="shared" si="7"/>
        <v>0</v>
      </c>
      <c r="AE12" s="1">
        <f t="shared" si="8"/>
        <v>0</v>
      </c>
      <c r="AF12" s="1">
        <f t="shared" si="9"/>
        <v>0</v>
      </c>
      <c r="AG12" s="1">
        <f t="shared" si="10"/>
        <v>0</v>
      </c>
      <c r="AH12" s="1">
        <f t="shared" si="11"/>
        <v>182.5</v>
      </c>
      <c r="AI12" s="5">
        <f t="shared" si="12"/>
        <v>0.5</v>
      </c>
      <c r="AJ12" s="5">
        <f t="shared" si="13"/>
        <v>0.64502827521206418</v>
      </c>
      <c r="AK12" s="5">
        <f t="shared" si="14"/>
        <v>4.1926837888784174</v>
      </c>
      <c r="AL12" s="5">
        <f t="shared" si="15"/>
        <v>6.2890256833176261</v>
      </c>
      <c r="AM12" s="5">
        <f t="shared" si="16"/>
        <v>0</v>
      </c>
      <c r="AN12" s="5">
        <f t="shared" si="17"/>
        <v>6.2890256833176261</v>
      </c>
      <c r="AO12" s="1" t="s">
        <v>102</v>
      </c>
      <c r="AT12" s="1" t="s">
        <v>132</v>
      </c>
      <c r="AU12" s="1" t="s">
        <v>102</v>
      </c>
    </row>
    <row r="13" spans="1:47" x14ac:dyDescent="0.25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96</v>
      </c>
      <c r="F13" s="1" t="s">
        <v>103</v>
      </c>
      <c r="G13" s="1" t="s">
        <v>114</v>
      </c>
      <c r="H13" s="1" t="s">
        <v>119</v>
      </c>
      <c r="I13" s="1" t="s">
        <v>105</v>
      </c>
      <c r="J13" s="1" t="s">
        <v>106</v>
      </c>
      <c r="K13" s="1" t="s">
        <v>116</v>
      </c>
      <c r="L13" s="1">
        <v>2570680</v>
      </c>
      <c r="M13" s="1" t="s">
        <v>133</v>
      </c>
      <c r="N13" s="8">
        <f>DATE(2019,2,4)</f>
        <v>43500</v>
      </c>
      <c r="O13" s="8">
        <f>DATE(2021,12,30)</f>
        <v>44560</v>
      </c>
      <c r="P13" s="1">
        <v>3486</v>
      </c>
      <c r="Q13" s="1">
        <v>1200</v>
      </c>
      <c r="R13" s="1">
        <f t="shared" si="0"/>
        <v>3200</v>
      </c>
      <c r="S13" s="1">
        <v>2.5</v>
      </c>
      <c r="U13" s="1">
        <f t="shared" si="1"/>
        <v>1061</v>
      </c>
      <c r="V13" s="7">
        <f t="shared" si="2"/>
        <v>3.0160226201696512</v>
      </c>
      <c r="W13" s="7">
        <f t="shared" si="3"/>
        <v>1100.8482563619227</v>
      </c>
      <c r="X13" s="7">
        <f t="shared" si="4"/>
        <v>1.3760603204524033</v>
      </c>
      <c r="AA13" s="8">
        <f t="shared" si="5"/>
        <v>44927</v>
      </c>
      <c r="AB13" s="8">
        <f t="shared" si="6"/>
        <v>45291</v>
      </c>
      <c r="AC13" s="1">
        <v>18</v>
      </c>
      <c r="AD13" s="1">
        <f t="shared" si="7"/>
        <v>0</v>
      </c>
      <c r="AE13" s="1">
        <f t="shared" si="8"/>
        <v>0</v>
      </c>
      <c r="AF13" s="1">
        <f t="shared" si="9"/>
        <v>0</v>
      </c>
      <c r="AG13" s="1">
        <f t="shared" si="10"/>
        <v>0</v>
      </c>
      <c r="AH13" s="1">
        <f t="shared" si="11"/>
        <v>182.5</v>
      </c>
      <c r="AI13" s="5">
        <f t="shared" si="12"/>
        <v>0.5</v>
      </c>
      <c r="AJ13" s="5">
        <f t="shared" si="13"/>
        <v>0.68803016022620167</v>
      </c>
      <c r="AK13" s="5">
        <f t="shared" si="14"/>
        <v>6.1922714420358149</v>
      </c>
      <c r="AL13" s="5">
        <f t="shared" si="15"/>
        <v>15.480678605089537</v>
      </c>
      <c r="AM13" s="5">
        <f t="shared" si="16"/>
        <v>7.7403393025447684</v>
      </c>
      <c r="AN13" s="5">
        <f t="shared" si="17"/>
        <v>23.221017907634305</v>
      </c>
      <c r="AO13" s="1" t="s">
        <v>102</v>
      </c>
    </row>
    <row r="14" spans="1:47" x14ac:dyDescent="0.25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96</v>
      </c>
      <c r="F14" s="1" t="s">
        <v>103</v>
      </c>
      <c r="G14" s="1" t="s">
        <v>98</v>
      </c>
      <c r="H14" s="1" t="s">
        <v>99</v>
      </c>
      <c r="I14" s="1" t="s">
        <v>100</v>
      </c>
      <c r="J14" s="1" t="s">
        <v>101</v>
      </c>
      <c r="L14" s="1">
        <v>2570684</v>
      </c>
      <c r="M14" s="1" t="s">
        <v>134</v>
      </c>
      <c r="N14" s="8">
        <f>DATE(2019,2,4)</f>
        <v>43500</v>
      </c>
      <c r="O14" s="8">
        <f>DATE(2022,12,30)</f>
        <v>44925</v>
      </c>
      <c r="P14" s="1">
        <v>3120</v>
      </c>
      <c r="Q14" s="1">
        <v>3000</v>
      </c>
      <c r="R14" s="1">
        <f t="shared" si="0"/>
        <v>3000</v>
      </c>
      <c r="S14" s="1">
        <v>1</v>
      </c>
      <c r="U14" s="1">
        <f t="shared" si="1"/>
        <v>1426</v>
      </c>
      <c r="V14" s="7">
        <f t="shared" si="2"/>
        <v>2.1037868162692845</v>
      </c>
      <c r="W14" s="7">
        <f t="shared" si="3"/>
        <v>767.88218793828889</v>
      </c>
      <c r="X14" s="7">
        <f t="shared" si="4"/>
        <v>0.95985273492286116</v>
      </c>
      <c r="AA14" s="8">
        <f t="shared" si="5"/>
        <v>44927</v>
      </c>
      <c r="AB14" s="8">
        <f t="shared" si="6"/>
        <v>45291</v>
      </c>
      <c r="AC14" s="1">
        <v>20</v>
      </c>
      <c r="AD14" s="1">
        <f t="shared" si="7"/>
        <v>0</v>
      </c>
      <c r="AE14" s="1">
        <f t="shared" si="8"/>
        <v>0</v>
      </c>
      <c r="AF14" s="1">
        <f t="shared" si="9"/>
        <v>0</v>
      </c>
      <c r="AG14" s="1">
        <f t="shared" si="10"/>
        <v>0</v>
      </c>
      <c r="AH14" s="1">
        <f t="shared" si="11"/>
        <v>182.5</v>
      </c>
      <c r="AI14" s="5">
        <f t="shared" si="12"/>
        <v>0.5</v>
      </c>
      <c r="AJ14" s="5">
        <f t="shared" si="13"/>
        <v>0.47992636746143058</v>
      </c>
      <c r="AK14" s="5">
        <f t="shared" si="14"/>
        <v>4.7992636746143056</v>
      </c>
      <c r="AL14" s="5">
        <f t="shared" si="15"/>
        <v>4.7992636746143056</v>
      </c>
      <c r="AM14" s="5">
        <f t="shared" si="16"/>
        <v>0</v>
      </c>
      <c r="AN14" s="5">
        <f t="shared" si="17"/>
        <v>4.7992636746143056</v>
      </c>
      <c r="AO14" s="1" t="s">
        <v>102</v>
      </c>
    </row>
    <row r="15" spans="1:47" x14ac:dyDescent="0.25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96</v>
      </c>
      <c r="F15" s="1" t="s">
        <v>103</v>
      </c>
      <c r="G15" s="1" t="s">
        <v>98</v>
      </c>
      <c r="H15" s="1" t="s">
        <v>104</v>
      </c>
      <c r="I15" s="1" t="s">
        <v>105</v>
      </c>
      <c r="J15" s="1" t="s">
        <v>106</v>
      </c>
      <c r="L15" s="1">
        <v>2570686</v>
      </c>
      <c r="M15" s="1" t="s">
        <v>135</v>
      </c>
      <c r="N15" s="8">
        <f>DATE(2019,2,4)</f>
        <v>43500</v>
      </c>
      <c r="O15" s="8">
        <f>DATE(2023,12,30)</f>
        <v>45290</v>
      </c>
      <c r="P15" s="1">
        <v>4028</v>
      </c>
      <c r="Q15" s="1">
        <v>3600</v>
      </c>
      <c r="R15" s="1">
        <f t="shared" si="0"/>
        <v>3600</v>
      </c>
      <c r="S15" s="1">
        <v>2.5</v>
      </c>
      <c r="U15" s="1">
        <f t="shared" si="1"/>
        <v>1791</v>
      </c>
      <c r="V15" s="7">
        <f t="shared" si="2"/>
        <v>2.0100502512562812</v>
      </c>
      <c r="W15" s="7">
        <f t="shared" si="3"/>
        <v>733.6683417085427</v>
      </c>
      <c r="X15" s="7">
        <f t="shared" si="4"/>
        <v>0.91708542713567842</v>
      </c>
      <c r="AA15" s="8">
        <f t="shared" si="5"/>
        <v>44927</v>
      </c>
      <c r="AB15" s="8">
        <f t="shared" si="6"/>
        <v>45291</v>
      </c>
      <c r="AC15" s="1">
        <v>25</v>
      </c>
      <c r="AD15" s="1">
        <f t="shared" si="7"/>
        <v>0</v>
      </c>
      <c r="AE15" s="1">
        <f t="shared" si="8"/>
        <v>0</v>
      </c>
      <c r="AF15" s="1">
        <f t="shared" si="9"/>
        <v>364</v>
      </c>
      <c r="AG15" s="1">
        <f t="shared" si="10"/>
        <v>0</v>
      </c>
      <c r="AH15" s="1">
        <f t="shared" si="11"/>
        <v>0</v>
      </c>
      <c r="AI15" s="5">
        <f t="shared" si="12"/>
        <v>0.99726027397260275</v>
      </c>
      <c r="AJ15" s="5">
        <f t="shared" si="13"/>
        <v>0.91457286432160811</v>
      </c>
      <c r="AK15" s="5">
        <f t="shared" si="14"/>
        <v>22.864321608040203</v>
      </c>
      <c r="AL15" s="5">
        <f t="shared" si="15"/>
        <v>57.160804020100507</v>
      </c>
      <c r="AM15" s="5">
        <f t="shared" si="16"/>
        <v>28.580402010050253</v>
      </c>
      <c r="AN15" s="5">
        <f t="shared" si="17"/>
        <v>85.741206030150764</v>
      </c>
      <c r="AO15" s="1" t="s">
        <v>102</v>
      </c>
    </row>
    <row r="16" spans="1:47" x14ac:dyDescent="0.25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96</v>
      </c>
      <c r="F16" s="1" t="s">
        <v>103</v>
      </c>
      <c r="G16" s="1" t="s">
        <v>127</v>
      </c>
      <c r="H16" s="1" t="s">
        <v>128</v>
      </c>
      <c r="I16" s="1" t="s">
        <v>100</v>
      </c>
      <c r="J16" s="1" t="s">
        <v>101</v>
      </c>
      <c r="L16" s="1">
        <v>2619019</v>
      </c>
      <c r="M16" s="1" t="s">
        <v>136</v>
      </c>
      <c r="N16" s="8">
        <f>DATE(2019,7,22)</f>
        <v>43668</v>
      </c>
      <c r="O16" s="8">
        <f>DATE(2021,7,31)</f>
        <v>44408</v>
      </c>
      <c r="P16" s="1">
        <v>1600</v>
      </c>
      <c r="Q16" s="1">
        <v>1600</v>
      </c>
      <c r="R16" s="1">
        <f t="shared" si="0"/>
        <v>1600</v>
      </c>
      <c r="S16" s="1">
        <v>1</v>
      </c>
      <c r="U16" s="1">
        <f t="shared" si="1"/>
        <v>741</v>
      </c>
      <c r="V16" s="7">
        <f t="shared" si="2"/>
        <v>2.1592442645074224</v>
      </c>
      <c r="W16" s="7">
        <f t="shared" si="3"/>
        <v>788.12415654520919</v>
      </c>
      <c r="X16" s="7">
        <f t="shared" si="4"/>
        <v>0.98515519568151144</v>
      </c>
      <c r="AA16" s="8">
        <f t="shared" si="5"/>
        <v>44927</v>
      </c>
      <c r="AB16" s="8">
        <f t="shared" si="6"/>
        <v>45291</v>
      </c>
      <c r="AC16" s="1">
        <v>6</v>
      </c>
      <c r="AD16" s="1">
        <f t="shared" si="7"/>
        <v>0</v>
      </c>
      <c r="AE16" s="1">
        <f t="shared" si="8"/>
        <v>0</v>
      </c>
      <c r="AF16" s="1">
        <f t="shared" si="9"/>
        <v>0</v>
      </c>
      <c r="AG16" s="1">
        <f t="shared" si="10"/>
        <v>0</v>
      </c>
      <c r="AH16" s="1">
        <f t="shared" si="11"/>
        <v>182.5</v>
      </c>
      <c r="AI16" s="5">
        <f t="shared" si="12"/>
        <v>0.5</v>
      </c>
      <c r="AJ16" s="5">
        <f t="shared" si="13"/>
        <v>0.49257759784075572</v>
      </c>
      <c r="AK16" s="5">
        <f t="shared" si="14"/>
        <v>1.4777327935222671</v>
      </c>
      <c r="AL16" s="5">
        <f t="shared" si="15"/>
        <v>1.4777327935222671</v>
      </c>
      <c r="AM16" s="5">
        <f t="shared" si="16"/>
        <v>0</v>
      </c>
      <c r="AN16" s="5">
        <f t="shared" si="17"/>
        <v>1.4777327935222671</v>
      </c>
      <c r="AO16" s="1" t="s">
        <v>102</v>
      </c>
    </row>
    <row r="17" spans="1:41" x14ac:dyDescent="0.25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96</v>
      </c>
      <c r="F17" s="1" t="s">
        <v>103</v>
      </c>
      <c r="G17" s="1" t="s">
        <v>114</v>
      </c>
      <c r="H17" s="1" t="s">
        <v>115</v>
      </c>
      <c r="I17" s="1" t="s">
        <v>100</v>
      </c>
      <c r="J17" s="1" t="s">
        <v>101</v>
      </c>
      <c r="K17" s="1" t="s">
        <v>116</v>
      </c>
      <c r="L17" s="1">
        <v>2671141</v>
      </c>
      <c r="M17" s="1" t="s">
        <v>137</v>
      </c>
      <c r="N17" s="8">
        <f>DATE(2020,2,3)</f>
        <v>43864</v>
      </c>
      <c r="O17" s="8">
        <f>DATE(2022,12,18)</f>
        <v>44913</v>
      </c>
      <c r="P17" s="1">
        <v>3486</v>
      </c>
      <c r="Q17" s="1">
        <v>800</v>
      </c>
      <c r="R17" s="1">
        <f t="shared" si="0"/>
        <v>3000</v>
      </c>
      <c r="S17" s="1">
        <v>1.5</v>
      </c>
      <c r="U17" s="1">
        <f t="shared" si="1"/>
        <v>1050</v>
      </c>
      <c r="V17" s="7">
        <f t="shared" si="2"/>
        <v>2.8571428571428572</v>
      </c>
      <c r="W17" s="7">
        <f t="shared" si="3"/>
        <v>1042.8571428571429</v>
      </c>
      <c r="X17" s="7">
        <f t="shared" si="4"/>
        <v>1.3035714285714286</v>
      </c>
      <c r="AA17" s="8">
        <f t="shared" si="5"/>
        <v>44927</v>
      </c>
      <c r="AB17" s="8">
        <f t="shared" si="6"/>
        <v>45291</v>
      </c>
      <c r="AC17" s="1">
        <v>57</v>
      </c>
      <c r="AD17" s="1">
        <f t="shared" si="7"/>
        <v>0</v>
      </c>
      <c r="AE17" s="1">
        <f t="shared" si="8"/>
        <v>0</v>
      </c>
      <c r="AF17" s="1">
        <f t="shared" si="9"/>
        <v>0</v>
      </c>
      <c r="AG17" s="1">
        <f t="shared" si="10"/>
        <v>0</v>
      </c>
      <c r="AH17" s="1">
        <f t="shared" si="11"/>
        <v>182.5</v>
      </c>
      <c r="AI17" s="5">
        <f t="shared" si="12"/>
        <v>0.5</v>
      </c>
      <c r="AJ17" s="5">
        <f t="shared" si="13"/>
        <v>0.6517857142857143</v>
      </c>
      <c r="AK17" s="5">
        <f t="shared" si="14"/>
        <v>18.575892857142858</v>
      </c>
      <c r="AL17" s="5">
        <f t="shared" si="15"/>
        <v>27.863839285714285</v>
      </c>
      <c r="AM17" s="5">
        <f t="shared" si="16"/>
        <v>0</v>
      </c>
      <c r="AN17" s="5">
        <f t="shared" si="17"/>
        <v>27.863839285714285</v>
      </c>
      <c r="AO17" s="1" t="s">
        <v>102</v>
      </c>
    </row>
    <row r="18" spans="1:41" x14ac:dyDescent="0.25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96</v>
      </c>
      <c r="F18" s="1" t="s">
        <v>103</v>
      </c>
      <c r="G18" s="1" t="s">
        <v>114</v>
      </c>
      <c r="H18" s="1" t="s">
        <v>119</v>
      </c>
      <c r="I18" s="1" t="s">
        <v>105</v>
      </c>
      <c r="J18" s="1" t="s">
        <v>106</v>
      </c>
      <c r="K18" s="1" t="s">
        <v>116</v>
      </c>
      <c r="L18" s="1">
        <v>2671143</v>
      </c>
      <c r="M18" s="1" t="s">
        <v>138</v>
      </c>
      <c r="N18" s="8">
        <f>DATE(2020,2,3)</f>
        <v>43864</v>
      </c>
      <c r="O18" s="8">
        <f>DATE(2022,12,18)</f>
        <v>44913</v>
      </c>
      <c r="P18" s="1">
        <v>3486</v>
      </c>
      <c r="Q18" s="1">
        <v>1200</v>
      </c>
      <c r="R18" s="1">
        <f t="shared" si="0"/>
        <v>3200</v>
      </c>
      <c r="S18" s="1">
        <v>2.5</v>
      </c>
      <c r="U18" s="1">
        <f t="shared" si="1"/>
        <v>1050</v>
      </c>
      <c r="V18" s="7">
        <f t="shared" si="2"/>
        <v>3.0476190476190474</v>
      </c>
      <c r="W18" s="7">
        <f t="shared" si="3"/>
        <v>1112.3809523809523</v>
      </c>
      <c r="X18" s="7">
        <f t="shared" si="4"/>
        <v>1.3904761904761904</v>
      </c>
      <c r="AA18" s="8">
        <f t="shared" si="5"/>
        <v>44927</v>
      </c>
      <c r="AB18" s="8">
        <f t="shared" si="6"/>
        <v>45291</v>
      </c>
      <c r="AC18" s="1">
        <v>72</v>
      </c>
      <c r="AD18" s="1">
        <f t="shared" si="7"/>
        <v>0</v>
      </c>
      <c r="AE18" s="1">
        <f t="shared" si="8"/>
        <v>0</v>
      </c>
      <c r="AF18" s="1">
        <f t="shared" si="9"/>
        <v>0</v>
      </c>
      <c r="AG18" s="1">
        <f t="shared" si="10"/>
        <v>0</v>
      </c>
      <c r="AH18" s="1">
        <f t="shared" si="11"/>
        <v>182.5</v>
      </c>
      <c r="AI18" s="5">
        <f t="shared" si="12"/>
        <v>0.5</v>
      </c>
      <c r="AJ18" s="5">
        <f t="shared" si="13"/>
        <v>0.69523809523809521</v>
      </c>
      <c r="AK18" s="5">
        <f t="shared" si="14"/>
        <v>25.028571428571428</v>
      </c>
      <c r="AL18" s="5">
        <f t="shared" si="15"/>
        <v>62.571428571428569</v>
      </c>
      <c r="AM18" s="5">
        <f t="shared" si="16"/>
        <v>31.285714285714285</v>
      </c>
      <c r="AN18" s="5">
        <f t="shared" si="17"/>
        <v>93.857142857142861</v>
      </c>
      <c r="AO18" s="1" t="s">
        <v>102</v>
      </c>
    </row>
    <row r="19" spans="1:41" x14ac:dyDescent="0.25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96</v>
      </c>
      <c r="F19" s="1" t="s">
        <v>103</v>
      </c>
      <c r="G19" s="1" t="s">
        <v>98</v>
      </c>
      <c r="H19" s="1" t="s">
        <v>99</v>
      </c>
      <c r="I19" s="1" t="s">
        <v>100</v>
      </c>
      <c r="J19" s="1" t="s">
        <v>101</v>
      </c>
      <c r="L19" s="1">
        <v>2671145</v>
      </c>
      <c r="M19" s="1" t="s">
        <v>139</v>
      </c>
      <c r="N19" s="8">
        <f>DATE(2020,2,3)</f>
        <v>43864</v>
      </c>
      <c r="O19" s="8">
        <f>DATE(2023,12,18)</f>
        <v>45278</v>
      </c>
      <c r="P19" s="1">
        <v>3120</v>
      </c>
      <c r="Q19" s="1">
        <v>3000</v>
      </c>
      <c r="R19" s="1">
        <f t="shared" si="0"/>
        <v>3000</v>
      </c>
      <c r="S19" s="1">
        <v>1</v>
      </c>
      <c r="U19" s="1">
        <f t="shared" si="1"/>
        <v>1415</v>
      </c>
      <c r="V19" s="7">
        <f t="shared" si="2"/>
        <v>2.1201413427561837</v>
      </c>
      <c r="W19" s="7">
        <f t="shared" si="3"/>
        <v>773.85159010600705</v>
      </c>
      <c r="X19" s="7">
        <f t="shared" si="4"/>
        <v>0.96731448763250882</v>
      </c>
      <c r="AA19" s="8">
        <f t="shared" si="5"/>
        <v>44927</v>
      </c>
      <c r="AB19" s="8">
        <f t="shared" si="6"/>
        <v>45291</v>
      </c>
      <c r="AC19" s="1">
        <v>25</v>
      </c>
      <c r="AD19" s="1">
        <f t="shared" si="7"/>
        <v>0</v>
      </c>
      <c r="AE19" s="1">
        <f t="shared" si="8"/>
        <v>0</v>
      </c>
      <c r="AF19" s="1">
        <f t="shared" si="9"/>
        <v>352</v>
      </c>
      <c r="AG19" s="1">
        <f t="shared" si="10"/>
        <v>0</v>
      </c>
      <c r="AH19" s="1">
        <f t="shared" si="11"/>
        <v>0</v>
      </c>
      <c r="AI19" s="5">
        <f t="shared" si="12"/>
        <v>0.96438356164383565</v>
      </c>
      <c r="AJ19" s="5">
        <f t="shared" si="13"/>
        <v>0.93286219081272093</v>
      </c>
      <c r="AK19" s="5">
        <f t="shared" si="14"/>
        <v>23.321554770318023</v>
      </c>
      <c r="AL19" s="5">
        <f t="shared" si="15"/>
        <v>23.321554770318023</v>
      </c>
      <c r="AM19" s="5">
        <f t="shared" si="16"/>
        <v>0</v>
      </c>
      <c r="AN19" s="5">
        <f t="shared" si="17"/>
        <v>23.321554770318023</v>
      </c>
      <c r="AO19" s="1" t="s">
        <v>102</v>
      </c>
    </row>
    <row r="20" spans="1:41" x14ac:dyDescent="0.25">
      <c r="A20" s="1" t="s">
        <v>19</v>
      </c>
      <c r="B20" s="1" t="s">
        <v>20</v>
      </c>
      <c r="C20" s="1" t="s">
        <v>21</v>
      </c>
      <c r="D20" s="1" t="s">
        <v>22</v>
      </c>
      <c r="E20" s="1" t="s">
        <v>96</v>
      </c>
      <c r="F20" s="1" t="s">
        <v>103</v>
      </c>
      <c r="G20" s="1" t="s">
        <v>98</v>
      </c>
      <c r="H20" s="1" t="s">
        <v>104</v>
      </c>
      <c r="I20" s="1" t="s">
        <v>105</v>
      </c>
      <c r="J20" s="1" t="s">
        <v>106</v>
      </c>
      <c r="L20" s="1">
        <v>2671147</v>
      </c>
      <c r="M20" s="1" t="s">
        <v>140</v>
      </c>
      <c r="N20" s="8">
        <f>DATE(2020,2,3)</f>
        <v>43864</v>
      </c>
      <c r="O20" s="8">
        <f>DATE(2024,12,18)</f>
        <v>45644</v>
      </c>
      <c r="P20" s="1">
        <v>4028</v>
      </c>
      <c r="Q20" s="1">
        <v>3600</v>
      </c>
      <c r="R20" s="1">
        <f t="shared" si="0"/>
        <v>3600</v>
      </c>
      <c r="S20" s="1">
        <v>2.5</v>
      </c>
      <c r="U20" s="1">
        <f t="shared" si="1"/>
        <v>1781</v>
      </c>
      <c r="V20" s="7">
        <f t="shared" si="2"/>
        <v>2.0213363279056709</v>
      </c>
      <c r="W20" s="7">
        <f t="shared" si="3"/>
        <v>737.78775968556988</v>
      </c>
      <c r="X20" s="7">
        <f t="shared" si="4"/>
        <v>0.92223469960696236</v>
      </c>
      <c r="AA20" s="8">
        <f t="shared" si="5"/>
        <v>44927</v>
      </c>
      <c r="AB20" s="8">
        <f t="shared" si="6"/>
        <v>45291</v>
      </c>
      <c r="AC20" s="1">
        <v>22</v>
      </c>
      <c r="AD20" s="1">
        <f t="shared" si="7"/>
        <v>365</v>
      </c>
      <c r="AE20" s="1">
        <f t="shared" si="8"/>
        <v>0</v>
      </c>
      <c r="AF20" s="1">
        <f t="shared" si="9"/>
        <v>0</v>
      </c>
      <c r="AG20" s="1">
        <f t="shared" si="10"/>
        <v>0</v>
      </c>
      <c r="AH20" s="1">
        <f t="shared" si="11"/>
        <v>0</v>
      </c>
      <c r="AI20" s="5">
        <f t="shared" si="12"/>
        <v>1</v>
      </c>
      <c r="AJ20" s="5">
        <f t="shared" si="13"/>
        <v>0.92223469960696236</v>
      </c>
      <c r="AK20" s="5">
        <f t="shared" si="14"/>
        <v>20.289163391353171</v>
      </c>
      <c r="AL20" s="5">
        <f t="shared" si="15"/>
        <v>50.722908478382926</v>
      </c>
      <c r="AM20" s="5">
        <f t="shared" si="16"/>
        <v>25.361454239191463</v>
      </c>
      <c r="AN20" s="5">
        <f t="shared" si="17"/>
        <v>76.084362717574393</v>
      </c>
      <c r="AO20" s="1" t="s">
        <v>102</v>
      </c>
    </row>
    <row r="21" spans="1:41" x14ac:dyDescent="0.25">
      <c r="A21" s="1" t="s">
        <v>19</v>
      </c>
      <c r="B21" s="1" t="s">
        <v>20</v>
      </c>
      <c r="C21" s="1" t="s">
        <v>21</v>
      </c>
      <c r="D21" s="1" t="s">
        <v>22</v>
      </c>
      <c r="E21" s="1" t="s">
        <v>96</v>
      </c>
      <c r="F21" s="1" t="s">
        <v>103</v>
      </c>
      <c r="G21" s="1" t="s">
        <v>127</v>
      </c>
      <c r="H21" s="1" t="s">
        <v>128</v>
      </c>
      <c r="I21" s="1" t="s">
        <v>100</v>
      </c>
      <c r="J21" s="1" t="s">
        <v>101</v>
      </c>
      <c r="L21" s="1">
        <v>2734114</v>
      </c>
      <c r="M21" s="1" t="s">
        <v>141</v>
      </c>
      <c r="N21" s="8">
        <f>DATE(2020,11,10)</f>
        <v>44145</v>
      </c>
      <c r="O21" s="8">
        <f>DATE(2022,11,30)</f>
        <v>44895</v>
      </c>
      <c r="P21" s="1">
        <v>1600</v>
      </c>
      <c r="Q21" s="1">
        <v>1600</v>
      </c>
      <c r="R21" s="1">
        <f t="shared" si="0"/>
        <v>1600</v>
      </c>
      <c r="S21" s="1">
        <v>1</v>
      </c>
      <c r="U21" s="1">
        <f t="shared" si="1"/>
        <v>751</v>
      </c>
      <c r="V21" s="7">
        <f t="shared" si="2"/>
        <v>2.1304926764314249</v>
      </c>
      <c r="W21" s="7">
        <f t="shared" si="3"/>
        <v>777.62982689747014</v>
      </c>
      <c r="X21" s="7">
        <f t="shared" si="4"/>
        <v>0.97203728362183772</v>
      </c>
      <c r="AA21" s="8">
        <f t="shared" si="5"/>
        <v>44927</v>
      </c>
      <c r="AB21" s="8">
        <f t="shared" si="6"/>
        <v>45291</v>
      </c>
      <c r="AC21" s="1">
        <v>19</v>
      </c>
      <c r="AD21" s="1">
        <f t="shared" si="7"/>
        <v>0</v>
      </c>
      <c r="AE21" s="1">
        <f t="shared" si="8"/>
        <v>0</v>
      </c>
      <c r="AF21" s="1">
        <f t="shared" si="9"/>
        <v>0</v>
      </c>
      <c r="AG21" s="1">
        <f t="shared" si="10"/>
        <v>0</v>
      </c>
      <c r="AH21" s="1">
        <f t="shared" si="11"/>
        <v>182.5</v>
      </c>
      <c r="AI21" s="5">
        <f t="shared" si="12"/>
        <v>0.5</v>
      </c>
      <c r="AJ21" s="5">
        <f t="shared" si="13"/>
        <v>0.48601864181091886</v>
      </c>
      <c r="AK21" s="5">
        <f t="shared" si="14"/>
        <v>4.6171770972037294</v>
      </c>
      <c r="AL21" s="5">
        <f t="shared" si="15"/>
        <v>4.6171770972037294</v>
      </c>
      <c r="AM21" s="5">
        <f t="shared" si="16"/>
        <v>0</v>
      </c>
      <c r="AN21" s="5">
        <f t="shared" si="17"/>
        <v>4.6171770972037294</v>
      </c>
      <c r="AO21" s="1" t="s">
        <v>102</v>
      </c>
    </row>
    <row r="22" spans="1:41" x14ac:dyDescent="0.25">
      <c r="A22" s="1" t="s">
        <v>19</v>
      </c>
      <c r="B22" s="1" t="s">
        <v>20</v>
      </c>
      <c r="C22" s="1" t="s">
        <v>21</v>
      </c>
      <c r="D22" s="1" t="s">
        <v>22</v>
      </c>
      <c r="E22" s="1" t="s">
        <v>96</v>
      </c>
      <c r="F22" s="1" t="s">
        <v>103</v>
      </c>
      <c r="G22" s="1" t="s">
        <v>114</v>
      </c>
      <c r="H22" s="1" t="s">
        <v>115</v>
      </c>
      <c r="I22" s="1" t="s">
        <v>100</v>
      </c>
      <c r="J22" s="1" t="s">
        <v>101</v>
      </c>
      <c r="K22" s="1" t="s">
        <v>116</v>
      </c>
      <c r="L22" s="1">
        <v>2753013</v>
      </c>
      <c r="M22" s="1" t="s">
        <v>142</v>
      </c>
      <c r="N22" s="8">
        <f>DATE(2021,4,19)</f>
        <v>44305</v>
      </c>
      <c r="O22" s="8">
        <f>DATE(2023,12,30)</f>
        <v>45290</v>
      </c>
      <c r="P22" s="1">
        <v>3486</v>
      </c>
      <c r="Q22" s="1">
        <v>800</v>
      </c>
      <c r="R22" s="1">
        <f t="shared" si="0"/>
        <v>3000</v>
      </c>
      <c r="S22" s="1">
        <v>1.5</v>
      </c>
      <c r="U22" s="1">
        <f t="shared" si="1"/>
        <v>986</v>
      </c>
      <c r="V22" s="7">
        <f t="shared" si="2"/>
        <v>3.0425963488843815</v>
      </c>
      <c r="W22" s="7">
        <f t="shared" si="3"/>
        <v>1110.5476673427993</v>
      </c>
      <c r="X22" s="7">
        <f t="shared" si="4"/>
        <v>1.3881845841784992</v>
      </c>
      <c r="AA22" s="8">
        <f t="shared" si="5"/>
        <v>44927</v>
      </c>
      <c r="AB22" s="8">
        <f t="shared" si="6"/>
        <v>45291</v>
      </c>
      <c r="AC22" s="1">
        <v>58</v>
      </c>
      <c r="AD22" s="1">
        <f t="shared" si="7"/>
        <v>0</v>
      </c>
      <c r="AE22" s="1">
        <f t="shared" si="8"/>
        <v>0</v>
      </c>
      <c r="AF22" s="1">
        <f t="shared" si="9"/>
        <v>364</v>
      </c>
      <c r="AG22" s="1">
        <f t="shared" si="10"/>
        <v>0</v>
      </c>
      <c r="AH22" s="1">
        <f t="shared" si="11"/>
        <v>0</v>
      </c>
      <c r="AI22" s="5">
        <f t="shared" si="12"/>
        <v>0.99726027397260275</v>
      </c>
      <c r="AJ22" s="5">
        <f t="shared" si="13"/>
        <v>1.3843813387423938</v>
      </c>
      <c r="AK22" s="5">
        <f t="shared" si="14"/>
        <v>80.29411764705884</v>
      </c>
      <c r="AL22" s="5">
        <f t="shared" si="15"/>
        <v>120.44117647058826</v>
      </c>
      <c r="AM22" s="5">
        <f t="shared" si="16"/>
        <v>0</v>
      </c>
      <c r="AN22" s="5">
        <f t="shared" si="17"/>
        <v>120.44117647058826</v>
      </c>
      <c r="AO22" s="1" t="s">
        <v>102</v>
      </c>
    </row>
    <row r="23" spans="1:41" x14ac:dyDescent="0.25">
      <c r="A23" s="1" t="s">
        <v>19</v>
      </c>
      <c r="B23" s="1" t="s">
        <v>20</v>
      </c>
      <c r="C23" s="1" t="s">
        <v>21</v>
      </c>
      <c r="D23" s="1" t="s">
        <v>22</v>
      </c>
      <c r="E23" s="1" t="s">
        <v>96</v>
      </c>
      <c r="F23" s="1" t="s">
        <v>103</v>
      </c>
      <c r="G23" s="1" t="s">
        <v>114</v>
      </c>
      <c r="H23" s="1" t="s">
        <v>119</v>
      </c>
      <c r="I23" s="1" t="s">
        <v>105</v>
      </c>
      <c r="J23" s="1" t="s">
        <v>106</v>
      </c>
      <c r="K23" s="1" t="s">
        <v>116</v>
      </c>
      <c r="L23" s="1">
        <v>2753017</v>
      </c>
      <c r="M23" s="1" t="s">
        <v>143</v>
      </c>
      <c r="N23" s="8">
        <f>DATE(2021,4,19)</f>
        <v>44305</v>
      </c>
      <c r="O23" s="8">
        <f>DATE(2023,12,30)</f>
        <v>45290</v>
      </c>
      <c r="P23" s="1">
        <v>3486</v>
      </c>
      <c r="Q23" s="1">
        <v>1200</v>
      </c>
      <c r="R23" s="1">
        <f t="shared" si="0"/>
        <v>3200</v>
      </c>
      <c r="S23" s="1">
        <v>2.5</v>
      </c>
      <c r="U23" s="1">
        <f t="shared" si="1"/>
        <v>986</v>
      </c>
      <c r="V23" s="7">
        <f t="shared" si="2"/>
        <v>3.2454361054766734</v>
      </c>
      <c r="W23" s="7">
        <f t="shared" si="3"/>
        <v>1184.5841784989857</v>
      </c>
      <c r="X23" s="7">
        <f t="shared" si="4"/>
        <v>1.480730223123732</v>
      </c>
      <c r="AA23" s="8">
        <f t="shared" si="5"/>
        <v>44927</v>
      </c>
      <c r="AB23" s="8">
        <f t="shared" si="6"/>
        <v>45291</v>
      </c>
      <c r="AC23" s="1">
        <v>79</v>
      </c>
      <c r="AD23" s="1">
        <f t="shared" si="7"/>
        <v>0</v>
      </c>
      <c r="AE23" s="1">
        <f t="shared" si="8"/>
        <v>0</v>
      </c>
      <c r="AF23" s="1">
        <f t="shared" si="9"/>
        <v>364</v>
      </c>
      <c r="AG23" s="1">
        <f t="shared" si="10"/>
        <v>0</v>
      </c>
      <c r="AH23" s="1">
        <f t="shared" si="11"/>
        <v>0</v>
      </c>
      <c r="AI23" s="5">
        <f t="shared" si="12"/>
        <v>0.99726027397260275</v>
      </c>
      <c r="AJ23" s="5">
        <f t="shared" si="13"/>
        <v>1.4766734279918863</v>
      </c>
      <c r="AK23" s="5">
        <f t="shared" si="14"/>
        <v>116.65720081135902</v>
      </c>
      <c r="AL23" s="5">
        <f t="shared" si="15"/>
        <v>291.64300202839752</v>
      </c>
      <c r="AM23" s="5">
        <f t="shared" si="16"/>
        <v>145.82150101419876</v>
      </c>
      <c r="AN23" s="5">
        <f t="shared" si="17"/>
        <v>437.46450304259628</v>
      </c>
      <c r="AO23" s="1" t="s">
        <v>102</v>
      </c>
    </row>
    <row r="24" spans="1:41" x14ac:dyDescent="0.25">
      <c r="A24" s="1" t="s">
        <v>19</v>
      </c>
      <c r="B24" s="1" t="s">
        <v>20</v>
      </c>
      <c r="C24" s="1" t="s">
        <v>21</v>
      </c>
      <c r="D24" s="1" t="s">
        <v>22</v>
      </c>
      <c r="E24" s="1" t="s">
        <v>96</v>
      </c>
      <c r="F24" s="1" t="s">
        <v>103</v>
      </c>
      <c r="G24" s="1" t="s">
        <v>98</v>
      </c>
      <c r="H24" s="1" t="s">
        <v>104</v>
      </c>
      <c r="I24" s="1" t="s">
        <v>105</v>
      </c>
      <c r="J24" s="1" t="s">
        <v>106</v>
      </c>
      <c r="L24" s="1">
        <v>2753035</v>
      </c>
      <c r="M24" s="1" t="s">
        <v>144</v>
      </c>
      <c r="N24" s="8">
        <f>DATE(2021,4,19)</f>
        <v>44305</v>
      </c>
      <c r="O24" s="8">
        <f>DATE(2025,12,30)</f>
        <v>46021</v>
      </c>
      <c r="P24" s="1">
        <v>4028</v>
      </c>
      <c r="Q24" s="1">
        <v>3600</v>
      </c>
      <c r="R24" s="1">
        <f t="shared" si="0"/>
        <v>3600</v>
      </c>
      <c r="S24" s="1">
        <v>2.5</v>
      </c>
      <c r="U24" s="1">
        <f t="shared" si="1"/>
        <v>1717</v>
      </c>
      <c r="V24" s="7">
        <f t="shared" si="2"/>
        <v>2.0966802562609201</v>
      </c>
      <c r="W24" s="7">
        <f t="shared" si="3"/>
        <v>765.28829353523588</v>
      </c>
      <c r="X24" s="7">
        <f t="shared" si="4"/>
        <v>0.95661036691904489</v>
      </c>
      <c r="AA24" s="8">
        <f t="shared" si="5"/>
        <v>44927</v>
      </c>
      <c r="AB24" s="8">
        <f t="shared" si="6"/>
        <v>45291</v>
      </c>
      <c r="AC24" s="1">
        <v>14</v>
      </c>
      <c r="AD24" s="1">
        <f t="shared" si="7"/>
        <v>365</v>
      </c>
      <c r="AE24" s="1">
        <f t="shared" si="8"/>
        <v>0</v>
      </c>
      <c r="AF24" s="1">
        <f t="shared" si="9"/>
        <v>0</v>
      </c>
      <c r="AG24" s="1">
        <f t="shared" si="10"/>
        <v>0</v>
      </c>
      <c r="AH24" s="1">
        <f t="shared" si="11"/>
        <v>0</v>
      </c>
      <c r="AI24" s="5">
        <f t="shared" si="12"/>
        <v>1</v>
      </c>
      <c r="AJ24" s="5">
        <f t="shared" si="13"/>
        <v>0.95661036691904489</v>
      </c>
      <c r="AK24" s="5">
        <f t="shared" si="14"/>
        <v>13.392545136866628</v>
      </c>
      <c r="AL24" s="5">
        <f t="shared" si="15"/>
        <v>33.481362842166568</v>
      </c>
      <c r="AM24" s="5">
        <f t="shared" si="16"/>
        <v>16.740681421083284</v>
      </c>
      <c r="AN24" s="5">
        <f t="shared" si="17"/>
        <v>50.222044263249856</v>
      </c>
      <c r="AO24" s="1" t="s">
        <v>102</v>
      </c>
    </row>
    <row r="25" spans="1:41" x14ac:dyDescent="0.25">
      <c r="A25" s="1" t="s">
        <v>19</v>
      </c>
      <c r="B25" s="1" t="s">
        <v>20</v>
      </c>
      <c r="C25" s="1" t="s">
        <v>21</v>
      </c>
      <c r="D25" s="1" t="s">
        <v>22</v>
      </c>
      <c r="E25" s="1" t="s">
        <v>96</v>
      </c>
      <c r="F25" s="1" t="s">
        <v>103</v>
      </c>
      <c r="G25" s="1" t="s">
        <v>98</v>
      </c>
      <c r="H25" s="1" t="s">
        <v>99</v>
      </c>
      <c r="I25" s="1" t="s">
        <v>100</v>
      </c>
      <c r="J25" s="1" t="s">
        <v>101</v>
      </c>
      <c r="L25" s="1">
        <v>2753037</v>
      </c>
      <c r="M25" s="1" t="s">
        <v>145</v>
      </c>
      <c r="N25" s="8">
        <f>DATE(2021,4,19)</f>
        <v>44305</v>
      </c>
      <c r="O25" s="8">
        <f>DATE(2024,12,30)</f>
        <v>45656</v>
      </c>
      <c r="P25" s="1">
        <v>3120</v>
      </c>
      <c r="Q25" s="1">
        <v>3000</v>
      </c>
      <c r="R25" s="1">
        <f t="shared" si="0"/>
        <v>3000</v>
      </c>
      <c r="S25" s="1">
        <v>1</v>
      </c>
      <c r="U25" s="1">
        <f t="shared" si="1"/>
        <v>1352</v>
      </c>
      <c r="V25" s="7">
        <f t="shared" si="2"/>
        <v>2.2189349112426036</v>
      </c>
      <c r="W25" s="7">
        <f t="shared" si="3"/>
        <v>809.91124260355025</v>
      </c>
      <c r="X25" s="7">
        <f t="shared" si="4"/>
        <v>1.0123890532544377</v>
      </c>
      <c r="AA25" s="8">
        <f t="shared" si="5"/>
        <v>44927</v>
      </c>
      <c r="AB25" s="8">
        <f t="shared" si="6"/>
        <v>45291</v>
      </c>
      <c r="AC25" s="1">
        <v>31</v>
      </c>
      <c r="AD25" s="1">
        <f t="shared" si="7"/>
        <v>365</v>
      </c>
      <c r="AE25" s="1">
        <f t="shared" si="8"/>
        <v>0</v>
      </c>
      <c r="AF25" s="1">
        <f t="shared" si="9"/>
        <v>0</v>
      </c>
      <c r="AG25" s="1">
        <f t="shared" si="10"/>
        <v>0</v>
      </c>
      <c r="AH25" s="1">
        <f t="shared" si="11"/>
        <v>0</v>
      </c>
      <c r="AI25" s="5">
        <f t="shared" si="12"/>
        <v>1</v>
      </c>
      <c r="AJ25" s="5">
        <f t="shared" si="13"/>
        <v>1.0123890532544377</v>
      </c>
      <c r="AK25" s="5">
        <f t="shared" si="14"/>
        <v>31.384060650887569</v>
      </c>
      <c r="AL25" s="5">
        <f t="shared" si="15"/>
        <v>31.384060650887569</v>
      </c>
      <c r="AM25" s="5">
        <f t="shared" si="16"/>
        <v>0</v>
      </c>
      <c r="AN25" s="5">
        <f t="shared" si="17"/>
        <v>31.384060650887569</v>
      </c>
      <c r="AO25" s="1" t="s">
        <v>102</v>
      </c>
    </row>
    <row r="26" spans="1:41" x14ac:dyDescent="0.25">
      <c r="A26" s="1" t="s">
        <v>19</v>
      </c>
      <c r="B26" s="1" t="s">
        <v>20</v>
      </c>
      <c r="C26" s="1" t="s">
        <v>21</v>
      </c>
      <c r="D26" s="1" t="s">
        <v>22</v>
      </c>
      <c r="E26" s="1" t="s">
        <v>96</v>
      </c>
      <c r="F26" s="1" t="s">
        <v>103</v>
      </c>
      <c r="G26" s="1" t="s">
        <v>98</v>
      </c>
      <c r="H26" s="1" t="s">
        <v>99</v>
      </c>
      <c r="I26" s="1" t="s">
        <v>100</v>
      </c>
      <c r="J26" s="1" t="s">
        <v>101</v>
      </c>
      <c r="L26" s="1">
        <v>2759322</v>
      </c>
      <c r="M26" s="1" t="s">
        <v>146</v>
      </c>
      <c r="N26" s="8">
        <f>DATE(2021,4,19)</f>
        <v>44305</v>
      </c>
      <c r="O26" s="8">
        <f>DATE(2025,4,20)</f>
        <v>45767</v>
      </c>
      <c r="P26" s="1">
        <v>3120</v>
      </c>
      <c r="Q26" s="1">
        <v>3000</v>
      </c>
      <c r="R26" s="1">
        <f t="shared" si="0"/>
        <v>3000</v>
      </c>
      <c r="S26" s="1">
        <v>1</v>
      </c>
      <c r="U26" s="1">
        <f t="shared" si="1"/>
        <v>1463</v>
      </c>
      <c r="V26" s="7">
        <f t="shared" si="2"/>
        <v>2.0505809979494192</v>
      </c>
      <c r="W26" s="7">
        <f t="shared" si="3"/>
        <v>748.46206425153798</v>
      </c>
      <c r="X26" s="7">
        <f t="shared" si="4"/>
        <v>0.93557758031442251</v>
      </c>
      <c r="AA26" s="8">
        <f t="shared" si="5"/>
        <v>44927</v>
      </c>
      <c r="AB26" s="8">
        <f t="shared" si="6"/>
        <v>45291</v>
      </c>
      <c r="AC26" s="1">
        <v>1</v>
      </c>
      <c r="AD26" s="1">
        <f t="shared" si="7"/>
        <v>365</v>
      </c>
      <c r="AE26" s="1">
        <f t="shared" si="8"/>
        <v>0</v>
      </c>
      <c r="AF26" s="1">
        <f t="shared" si="9"/>
        <v>0</v>
      </c>
      <c r="AG26" s="1">
        <f t="shared" si="10"/>
        <v>0</v>
      </c>
      <c r="AH26" s="1">
        <f t="shared" si="11"/>
        <v>0</v>
      </c>
      <c r="AI26" s="5">
        <f t="shared" si="12"/>
        <v>1</v>
      </c>
      <c r="AJ26" s="5">
        <f t="shared" si="13"/>
        <v>0.93557758031442251</v>
      </c>
      <c r="AK26" s="5">
        <f t="shared" si="14"/>
        <v>0.93557758031442251</v>
      </c>
      <c r="AL26" s="5">
        <f t="shared" si="15"/>
        <v>0.93557758031442251</v>
      </c>
      <c r="AM26" s="5">
        <f t="shared" si="16"/>
        <v>0</v>
      </c>
      <c r="AN26" s="5">
        <f t="shared" si="17"/>
        <v>0.93557758031442251</v>
      </c>
      <c r="AO26" s="1" t="s">
        <v>102</v>
      </c>
    </row>
    <row r="27" spans="1:41" x14ac:dyDescent="0.25">
      <c r="A27" s="1" t="s">
        <v>19</v>
      </c>
      <c r="B27" s="1" t="s">
        <v>20</v>
      </c>
      <c r="C27" s="1" t="s">
        <v>21</v>
      </c>
      <c r="D27" s="1" t="s">
        <v>22</v>
      </c>
      <c r="E27" s="1" t="s">
        <v>96</v>
      </c>
      <c r="F27" s="1" t="s">
        <v>103</v>
      </c>
      <c r="G27" s="1" t="s">
        <v>127</v>
      </c>
      <c r="H27" s="1" t="s">
        <v>128</v>
      </c>
      <c r="I27" s="1" t="s">
        <v>100</v>
      </c>
      <c r="J27" s="1" t="s">
        <v>101</v>
      </c>
      <c r="L27" s="1">
        <v>2791056</v>
      </c>
      <c r="M27" s="1" t="s">
        <v>147</v>
      </c>
      <c r="N27" s="8">
        <f>DATE(2021,9,13)</f>
        <v>44452</v>
      </c>
      <c r="O27" s="8">
        <f>DATE(2023,9,15)</f>
        <v>45184</v>
      </c>
      <c r="P27" s="1">
        <v>1600</v>
      </c>
      <c r="Q27" s="1">
        <v>1600</v>
      </c>
      <c r="R27" s="1">
        <f t="shared" si="0"/>
        <v>1600</v>
      </c>
      <c r="S27" s="1">
        <v>1</v>
      </c>
      <c r="U27" s="1">
        <f t="shared" si="1"/>
        <v>733</v>
      </c>
      <c r="V27" s="7">
        <f t="shared" si="2"/>
        <v>2.1828103683492497</v>
      </c>
      <c r="W27" s="7">
        <f t="shared" si="3"/>
        <v>796.72578444747614</v>
      </c>
      <c r="X27" s="7">
        <f t="shared" si="4"/>
        <v>0.99590723055934516</v>
      </c>
      <c r="AA27" s="8">
        <f t="shared" si="5"/>
        <v>44927</v>
      </c>
      <c r="AB27" s="8">
        <f t="shared" si="6"/>
        <v>45291</v>
      </c>
      <c r="AC27" s="1">
        <v>29</v>
      </c>
      <c r="AD27" s="1">
        <f t="shared" si="7"/>
        <v>0</v>
      </c>
      <c r="AE27" s="1">
        <f t="shared" si="8"/>
        <v>0</v>
      </c>
      <c r="AF27" s="1">
        <f t="shared" si="9"/>
        <v>258</v>
      </c>
      <c r="AG27" s="1">
        <f t="shared" si="10"/>
        <v>0</v>
      </c>
      <c r="AH27" s="1">
        <f t="shared" si="11"/>
        <v>0</v>
      </c>
      <c r="AI27" s="5">
        <f t="shared" si="12"/>
        <v>0.70684931506849313</v>
      </c>
      <c r="AJ27" s="5">
        <f t="shared" si="13"/>
        <v>0.70395634379263294</v>
      </c>
      <c r="AK27" s="5">
        <f t="shared" si="14"/>
        <v>20.414733969986354</v>
      </c>
      <c r="AL27" s="5">
        <f t="shared" si="15"/>
        <v>20.414733969986354</v>
      </c>
      <c r="AM27" s="5">
        <f t="shared" si="16"/>
        <v>0</v>
      </c>
      <c r="AN27" s="5">
        <f t="shared" si="17"/>
        <v>20.414733969986354</v>
      </c>
      <c r="AO27" s="1" t="s">
        <v>102</v>
      </c>
    </row>
    <row r="28" spans="1:41" x14ac:dyDescent="0.25">
      <c r="A28" s="1" t="s">
        <v>19</v>
      </c>
      <c r="B28" s="1" t="s">
        <v>20</v>
      </c>
      <c r="C28" s="1" t="s">
        <v>21</v>
      </c>
      <c r="D28" s="1" t="s">
        <v>22</v>
      </c>
      <c r="E28" s="1" t="s">
        <v>96</v>
      </c>
      <c r="F28" s="1" t="s">
        <v>103</v>
      </c>
      <c r="G28" s="1" t="s">
        <v>98</v>
      </c>
      <c r="H28" s="1" t="s">
        <v>99</v>
      </c>
      <c r="I28" s="1" t="s">
        <v>100</v>
      </c>
      <c r="J28" s="1" t="s">
        <v>101</v>
      </c>
      <c r="L28" s="1">
        <v>2801660</v>
      </c>
      <c r="M28" s="1" t="s">
        <v>148</v>
      </c>
      <c r="N28" s="8">
        <f>DATE(2021,9,13)</f>
        <v>44452</v>
      </c>
      <c r="O28" s="8">
        <f>DATE(2025,9,30)</f>
        <v>45930</v>
      </c>
      <c r="P28" s="1">
        <v>3120</v>
      </c>
      <c r="Q28" s="1">
        <v>3000</v>
      </c>
      <c r="R28" s="1">
        <f t="shared" si="0"/>
        <v>3000</v>
      </c>
      <c r="S28" s="1">
        <v>1</v>
      </c>
      <c r="U28" s="1">
        <f t="shared" si="1"/>
        <v>1479</v>
      </c>
      <c r="V28" s="7">
        <f t="shared" si="2"/>
        <v>2.028397565922921</v>
      </c>
      <c r="W28" s="7">
        <f t="shared" si="3"/>
        <v>740.36511156186612</v>
      </c>
      <c r="X28" s="7">
        <f t="shared" si="4"/>
        <v>0.92545638945233266</v>
      </c>
      <c r="AA28" s="8">
        <f t="shared" si="5"/>
        <v>44927</v>
      </c>
      <c r="AB28" s="8">
        <f t="shared" si="6"/>
        <v>45291</v>
      </c>
      <c r="AC28" s="1">
        <v>3</v>
      </c>
      <c r="AD28" s="1">
        <f t="shared" si="7"/>
        <v>365</v>
      </c>
      <c r="AE28" s="1">
        <f t="shared" si="8"/>
        <v>0</v>
      </c>
      <c r="AF28" s="1">
        <f t="shared" si="9"/>
        <v>0</v>
      </c>
      <c r="AG28" s="1">
        <f t="shared" si="10"/>
        <v>0</v>
      </c>
      <c r="AH28" s="1">
        <f t="shared" si="11"/>
        <v>0</v>
      </c>
      <c r="AI28" s="5">
        <f t="shared" si="12"/>
        <v>1</v>
      </c>
      <c r="AJ28" s="5">
        <f t="shared" si="13"/>
        <v>0.92545638945233266</v>
      </c>
      <c r="AK28" s="5">
        <f t="shared" si="14"/>
        <v>2.776369168356998</v>
      </c>
      <c r="AL28" s="5">
        <f t="shared" si="15"/>
        <v>2.776369168356998</v>
      </c>
      <c r="AM28" s="5">
        <f t="shared" si="16"/>
        <v>0</v>
      </c>
      <c r="AN28" s="5">
        <f t="shared" si="17"/>
        <v>2.776369168356998</v>
      </c>
      <c r="AO28" s="1" t="s">
        <v>102</v>
      </c>
    </row>
    <row r="29" spans="1:41" x14ac:dyDescent="0.25">
      <c r="A29" s="1" t="s">
        <v>19</v>
      </c>
      <c r="B29" s="1" t="s">
        <v>20</v>
      </c>
      <c r="C29" s="1" t="s">
        <v>21</v>
      </c>
      <c r="D29" s="1" t="s">
        <v>22</v>
      </c>
      <c r="E29" s="1" t="s">
        <v>96</v>
      </c>
      <c r="F29" s="1" t="s">
        <v>103</v>
      </c>
      <c r="G29" s="1" t="s">
        <v>127</v>
      </c>
      <c r="H29" s="1" t="s">
        <v>128</v>
      </c>
      <c r="I29" s="1" t="s">
        <v>100</v>
      </c>
      <c r="J29" s="1" t="s">
        <v>101</v>
      </c>
      <c r="L29" s="1">
        <v>2801663</v>
      </c>
      <c r="M29" s="1" t="s">
        <v>149</v>
      </c>
      <c r="N29" s="8">
        <f>DATE(2021,9,13)</f>
        <v>44452</v>
      </c>
      <c r="O29" s="8">
        <f>DATE(2023,9,30)</f>
        <v>45199</v>
      </c>
      <c r="P29" s="1">
        <v>1600</v>
      </c>
      <c r="Q29" s="1">
        <v>1600</v>
      </c>
      <c r="R29" s="1">
        <f t="shared" si="0"/>
        <v>1600</v>
      </c>
      <c r="S29" s="1">
        <v>1</v>
      </c>
      <c r="U29" s="1">
        <f t="shared" si="1"/>
        <v>748</v>
      </c>
      <c r="V29" s="7">
        <f t="shared" si="2"/>
        <v>2.1390374331550803</v>
      </c>
      <c r="W29" s="7">
        <f t="shared" si="3"/>
        <v>780.74866310160428</v>
      </c>
      <c r="X29" s="7">
        <f t="shared" si="4"/>
        <v>0.97593582887700536</v>
      </c>
      <c r="AA29" s="8">
        <f t="shared" si="5"/>
        <v>44927</v>
      </c>
      <c r="AB29" s="8">
        <f t="shared" si="6"/>
        <v>45291</v>
      </c>
      <c r="AC29" s="1">
        <v>1</v>
      </c>
      <c r="AD29" s="1">
        <f t="shared" si="7"/>
        <v>0</v>
      </c>
      <c r="AE29" s="1">
        <f t="shared" si="8"/>
        <v>0</v>
      </c>
      <c r="AF29" s="1">
        <f t="shared" si="9"/>
        <v>273</v>
      </c>
      <c r="AG29" s="1">
        <f t="shared" si="10"/>
        <v>0</v>
      </c>
      <c r="AH29" s="1">
        <f t="shared" si="11"/>
        <v>0</v>
      </c>
      <c r="AI29" s="5">
        <f t="shared" si="12"/>
        <v>0.74794520547945209</v>
      </c>
      <c r="AJ29" s="5">
        <f t="shared" si="13"/>
        <v>0.72994652406417115</v>
      </c>
      <c r="AK29" s="5">
        <f t="shared" si="14"/>
        <v>0.72994652406417115</v>
      </c>
      <c r="AL29" s="5">
        <f t="shared" si="15"/>
        <v>0.72994652406417115</v>
      </c>
      <c r="AM29" s="5">
        <f t="shared" si="16"/>
        <v>0</v>
      </c>
      <c r="AN29" s="5">
        <f t="shared" si="17"/>
        <v>0.72994652406417115</v>
      </c>
      <c r="AO29" s="1" t="s">
        <v>102</v>
      </c>
    </row>
    <row r="30" spans="1:41" x14ac:dyDescent="0.25">
      <c r="A30" s="1" t="s">
        <v>19</v>
      </c>
      <c r="B30" s="1" t="s">
        <v>20</v>
      </c>
      <c r="C30" s="1" t="s">
        <v>21</v>
      </c>
      <c r="D30" s="1" t="s">
        <v>22</v>
      </c>
      <c r="E30" s="1" t="s">
        <v>96</v>
      </c>
      <c r="F30" s="1" t="s">
        <v>103</v>
      </c>
      <c r="G30" s="1" t="s">
        <v>114</v>
      </c>
      <c r="H30" s="1" t="s">
        <v>115</v>
      </c>
      <c r="I30" s="1" t="s">
        <v>100</v>
      </c>
      <c r="J30" s="1" t="s">
        <v>101</v>
      </c>
      <c r="K30" s="1" t="s">
        <v>116</v>
      </c>
      <c r="L30" s="1">
        <v>2833841</v>
      </c>
      <c r="M30" s="1" t="s">
        <v>150</v>
      </c>
      <c r="N30" s="8">
        <f>DATE(2022,3,14)</f>
        <v>44634</v>
      </c>
      <c r="O30" s="8">
        <f>DATE(2025,2,17)</f>
        <v>45705</v>
      </c>
      <c r="P30" s="1">
        <v>3486</v>
      </c>
      <c r="Q30" s="1">
        <v>800</v>
      </c>
      <c r="R30" s="1">
        <f t="shared" si="0"/>
        <v>3000</v>
      </c>
      <c r="S30" s="1">
        <v>1.5</v>
      </c>
      <c r="U30" s="1">
        <f t="shared" si="1"/>
        <v>1072</v>
      </c>
      <c r="V30" s="7">
        <f t="shared" si="2"/>
        <v>2.7985074626865671</v>
      </c>
      <c r="W30" s="7">
        <f t="shared" si="3"/>
        <v>1021.455223880597</v>
      </c>
      <c r="X30" s="7">
        <f t="shared" si="4"/>
        <v>1.2768190298507462</v>
      </c>
      <c r="AA30" s="8">
        <f t="shared" si="5"/>
        <v>44927</v>
      </c>
      <c r="AB30" s="8">
        <f t="shared" si="6"/>
        <v>45291</v>
      </c>
      <c r="AC30" s="1">
        <v>56</v>
      </c>
      <c r="AD30" s="1">
        <f t="shared" si="7"/>
        <v>365</v>
      </c>
      <c r="AE30" s="1">
        <f t="shared" si="8"/>
        <v>0</v>
      </c>
      <c r="AF30" s="1">
        <f t="shared" si="9"/>
        <v>0</v>
      </c>
      <c r="AG30" s="1">
        <f t="shared" si="10"/>
        <v>0</v>
      </c>
      <c r="AH30" s="1">
        <f t="shared" si="11"/>
        <v>0</v>
      </c>
      <c r="AI30" s="5">
        <f t="shared" si="12"/>
        <v>1</v>
      </c>
      <c r="AJ30" s="5">
        <f t="shared" si="13"/>
        <v>1.2768190298507462</v>
      </c>
      <c r="AK30" s="5">
        <f t="shared" si="14"/>
        <v>71.501865671641795</v>
      </c>
      <c r="AL30" s="5">
        <f t="shared" si="15"/>
        <v>107.2527985074627</v>
      </c>
      <c r="AM30" s="5">
        <f t="shared" si="16"/>
        <v>0</v>
      </c>
      <c r="AN30" s="5">
        <f t="shared" si="17"/>
        <v>107.2527985074627</v>
      </c>
      <c r="AO30" s="1" t="s">
        <v>102</v>
      </c>
    </row>
    <row r="31" spans="1:41" x14ac:dyDescent="0.25">
      <c r="A31" s="1" t="s">
        <v>19</v>
      </c>
      <c r="B31" s="1" t="s">
        <v>20</v>
      </c>
      <c r="C31" s="1" t="s">
        <v>21</v>
      </c>
      <c r="D31" s="1" t="s">
        <v>22</v>
      </c>
      <c r="E31" s="1" t="s">
        <v>96</v>
      </c>
      <c r="F31" s="1" t="s">
        <v>103</v>
      </c>
      <c r="G31" s="1" t="s">
        <v>114</v>
      </c>
      <c r="H31" s="1" t="s">
        <v>119</v>
      </c>
      <c r="I31" s="1" t="s">
        <v>105</v>
      </c>
      <c r="J31" s="1" t="s">
        <v>106</v>
      </c>
      <c r="K31" s="1" t="s">
        <v>116</v>
      </c>
      <c r="L31" s="1">
        <v>2833842</v>
      </c>
      <c r="M31" s="1" t="s">
        <v>151</v>
      </c>
      <c r="N31" s="8">
        <f>DATE(2022,3,14)</f>
        <v>44634</v>
      </c>
      <c r="O31" s="8">
        <f>DATE(2025,2,17)</f>
        <v>45705</v>
      </c>
      <c r="P31" s="1">
        <v>3486</v>
      </c>
      <c r="Q31" s="1">
        <v>1200</v>
      </c>
      <c r="R31" s="1">
        <f t="shared" si="0"/>
        <v>3200</v>
      </c>
      <c r="S31" s="1">
        <v>2.5</v>
      </c>
      <c r="U31" s="1">
        <f t="shared" si="1"/>
        <v>1072</v>
      </c>
      <c r="V31" s="7">
        <f t="shared" si="2"/>
        <v>2.9850746268656718</v>
      </c>
      <c r="W31" s="7">
        <f t="shared" si="3"/>
        <v>1089.5522388059703</v>
      </c>
      <c r="X31" s="7">
        <f t="shared" si="4"/>
        <v>1.3619402985074629</v>
      </c>
      <c r="AA31" s="8">
        <f t="shared" si="5"/>
        <v>44927</v>
      </c>
      <c r="AB31" s="8">
        <f t="shared" si="6"/>
        <v>45291</v>
      </c>
      <c r="AC31" s="1">
        <v>82</v>
      </c>
      <c r="AD31" s="1">
        <f t="shared" si="7"/>
        <v>365</v>
      </c>
      <c r="AE31" s="1">
        <f t="shared" si="8"/>
        <v>0</v>
      </c>
      <c r="AF31" s="1">
        <f t="shared" si="9"/>
        <v>0</v>
      </c>
      <c r="AG31" s="1">
        <f t="shared" si="10"/>
        <v>0</v>
      </c>
      <c r="AH31" s="1">
        <f t="shared" si="11"/>
        <v>0</v>
      </c>
      <c r="AI31" s="5">
        <f t="shared" si="12"/>
        <v>1</v>
      </c>
      <c r="AJ31" s="5">
        <f t="shared" si="13"/>
        <v>1.3619402985074629</v>
      </c>
      <c r="AK31" s="5">
        <f t="shared" si="14"/>
        <v>111.67910447761196</v>
      </c>
      <c r="AL31" s="5">
        <f t="shared" si="15"/>
        <v>279.19776119402991</v>
      </c>
      <c r="AM31" s="5">
        <f t="shared" si="16"/>
        <v>139.59888059701495</v>
      </c>
      <c r="AN31" s="5">
        <f t="shared" si="17"/>
        <v>418.79664179104486</v>
      </c>
      <c r="AO31" s="1" t="s">
        <v>102</v>
      </c>
    </row>
    <row r="32" spans="1:41" x14ac:dyDescent="0.25">
      <c r="A32" s="1" t="s">
        <v>19</v>
      </c>
      <c r="B32" s="1" t="s">
        <v>20</v>
      </c>
      <c r="C32" s="1" t="s">
        <v>21</v>
      </c>
      <c r="D32" s="1" t="s">
        <v>22</v>
      </c>
      <c r="E32" s="1" t="s">
        <v>96</v>
      </c>
      <c r="F32" s="1" t="s">
        <v>103</v>
      </c>
      <c r="G32" s="1" t="s">
        <v>98</v>
      </c>
      <c r="H32" s="1" t="s">
        <v>99</v>
      </c>
      <c r="I32" s="1" t="s">
        <v>100</v>
      </c>
      <c r="J32" s="1" t="s">
        <v>101</v>
      </c>
      <c r="L32" s="1">
        <v>2833843</v>
      </c>
      <c r="M32" s="1" t="s">
        <v>152</v>
      </c>
      <c r="N32" s="8">
        <f>DATE(2022,3,14)</f>
        <v>44634</v>
      </c>
      <c r="O32" s="8">
        <f>DATE(2026,2,17)</f>
        <v>46070</v>
      </c>
      <c r="P32" s="1">
        <v>3120</v>
      </c>
      <c r="Q32" s="1">
        <v>3000</v>
      </c>
      <c r="R32" s="1">
        <f t="shared" si="0"/>
        <v>3000</v>
      </c>
      <c r="S32" s="1">
        <v>1</v>
      </c>
      <c r="U32" s="1">
        <f t="shared" si="1"/>
        <v>1437</v>
      </c>
      <c r="V32" s="7">
        <f t="shared" si="2"/>
        <v>2.0876826722338206</v>
      </c>
      <c r="W32" s="7">
        <f t="shared" si="3"/>
        <v>762.00417536534451</v>
      </c>
      <c r="X32" s="7">
        <f t="shared" si="4"/>
        <v>0.95250521920668063</v>
      </c>
      <c r="AA32" s="8">
        <f t="shared" si="5"/>
        <v>44927</v>
      </c>
      <c r="AB32" s="8">
        <f t="shared" si="6"/>
        <v>45291</v>
      </c>
      <c r="AC32" s="1">
        <v>27</v>
      </c>
      <c r="AD32" s="1">
        <f t="shared" si="7"/>
        <v>365</v>
      </c>
      <c r="AE32" s="1">
        <f t="shared" si="8"/>
        <v>0</v>
      </c>
      <c r="AF32" s="1">
        <f t="shared" si="9"/>
        <v>0</v>
      </c>
      <c r="AG32" s="1">
        <f t="shared" si="10"/>
        <v>0</v>
      </c>
      <c r="AH32" s="1">
        <f t="shared" si="11"/>
        <v>0</v>
      </c>
      <c r="AI32" s="5">
        <f t="shared" si="12"/>
        <v>1</v>
      </c>
      <c r="AJ32" s="5">
        <f t="shared" si="13"/>
        <v>0.95250521920668063</v>
      </c>
      <c r="AK32" s="5">
        <f t="shared" si="14"/>
        <v>25.717640918580376</v>
      </c>
      <c r="AL32" s="5">
        <f t="shared" si="15"/>
        <v>25.717640918580376</v>
      </c>
      <c r="AM32" s="5">
        <f t="shared" si="16"/>
        <v>0</v>
      </c>
      <c r="AN32" s="5">
        <f t="shared" si="17"/>
        <v>25.717640918580376</v>
      </c>
      <c r="AO32" s="1" t="s">
        <v>102</v>
      </c>
    </row>
    <row r="33" spans="1:41" x14ac:dyDescent="0.25">
      <c r="A33" s="1" t="s">
        <v>19</v>
      </c>
      <c r="B33" s="1" t="s">
        <v>20</v>
      </c>
      <c r="C33" s="1" t="s">
        <v>21</v>
      </c>
      <c r="D33" s="1" t="s">
        <v>22</v>
      </c>
      <c r="E33" s="1" t="s">
        <v>96</v>
      </c>
      <c r="F33" s="1" t="s">
        <v>103</v>
      </c>
      <c r="G33" s="1" t="s">
        <v>98</v>
      </c>
      <c r="H33" s="1" t="s">
        <v>104</v>
      </c>
      <c r="I33" s="1" t="s">
        <v>105</v>
      </c>
      <c r="J33" s="1" t="s">
        <v>106</v>
      </c>
      <c r="L33" s="1">
        <v>2833844</v>
      </c>
      <c r="M33" s="1" t="s">
        <v>153</v>
      </c>
      <c r="N33" s="8">
        <f>DATE(2022,3,14)</f>
        <v>44634</v>
      </c>
      <c r="O33" s="8">
        <f>DATE(2027,2,17)</f>
        <v>46435</v>
      </c>
      <c r="P33" s="1">
        <v>4028</v>
      </c>
      <c r="Q33" s="1">
        <v>3600</v>
      </c>
      <c r="R33" s="1">
        <f t="shared" si="0"/>
        <v>3600</v>
      </c>
      <c r="S33" s="1">
        <v>2.5</v>
      </c>
      <c r="U33" s="1">
        <f t="shared" si="1"/>
        <v>1802</v>
      </c>
      <c r="V33" s="7">
        <f t="shared" si="2"/>
        <v>1.9977802441731409</v>
      </c>
      <c r="W33" s="7">
        <f t="shared" si="3"/>
        <v>729.18978912319642</v>
      </c>
      <c r="X33" s="7">
        <f t="shared" si="4"/>
        <v>0.91148723640399554</v>
      </c>
      <c r="AA33" s="8">
        <f t="shared" si="5"/>
        <v>44927</v>
      </c>
      <c r="AB33" s="8">
        <f t="shared" si="6"/>
        <v>45291</v>
      </c>
      <c r="AC33" s="1">
        <v>6</v>
      </c>
      <c r="AD33" s="1">
        <f t="shared" si="7"/>
        <v>365</v>
      </c>
      <c r="AE33" s="1">
        <f t="shared" si="8"/>
        <v>0</v>
      </c>
      <c r="AF33" s="1">
        <f t="shared" si="9"/>
        <v>0</v>
      </c>
      <c r="AG33" s="1">
        <f t="shared" si="10"/>
        <v>0</v>
      </c>
      <c r="AH33" s="1">
        <f t="shared" si="11"/>
        <v>0</v>
      </c>
      <c r="AI33" s="5">
        <f t="shared" si="12"/>
        <v>1</v>
      </c>
      <c r="AJ33" s="5">
        <f t="shared" si="13"/>
        <v>0.91148723640399554</v>
      </c>
      <c r="AK33" s="5">
        <f t="shared" si="14"/>
        <v>5.468923418423973</v>
      </c>
      <c r="AL33" s="5">
        <f t="shared" si="15"/>
        <v>13.672308546059933</v>
      </c>
      <c r="AM33" s="5">
        <f t="shared" si="16"/>
        <v>6.8361542730299663</v>
      </c>
      <c r="AN33" s="5">
        <f t="shared" si="17"/>
        <v>20.5084628190899</v>
      </c>
      <c r="AO33" s="1" t="s">
        <v>102</v>
      </c>
    </row>
    <row r="34" spans="1:41" x14ac:dyDescent="0.25">
      <c r="A34" s="1" t="s">
        <v>19</v>
      </c>
      <c r="B34" s="1" t="s">
        <v>20</v>
      </c>
      <c r="C34" s="1" t="s">
        <v>21</v>
      </c>
      <c r="D34" s="1" t="s">
        <v>22</v>
      </c>
      <c r="E34" s="1" t="s">
        <v>96</v>
      </c>
      <c r="F34" s="1" t="s">
        <v>103</v>
      </c>
      <c r="G34" s="1" t="s">
        <v>98</v>
      </c>
      <c r="H34" s="1" t="s">
        <v>99</v>
      </c>
      <c r="I34" s="1" t="s">
        <v>100</v>
      </c>
      <c r="J34" s="1" t="s">
        <v>101</v>
      </c>
      <c r="L34" s="1">
        <v>2857476</v>
      </c>
      <c r="M34" s="1" t="s">
        <v>154</v>
      </c>
      <c r="N34" s="8">
        <f>DATE(2022,3,14)</f>
        <v>44634</v>
      </c>
      <c r="O34" s="8">
        <f>DATE(2026,2,28)</f>
        <v>46081</v>
      </c>
      <c r="P34" s="1">
        <v>3040</v>
      </c>
      <c r="Q34" s="1">
        <v>3000</v>
      </c>
      <c r="R34" s="1">
        <f t="shared" si="0"/>
        <v>3000</v>
      </c>
      <c r="S34" s="1">
        <v>1</v>
      </c>
      <c r="U34" s="1">
        <f t="shared" si="1"/>
        <v>1448</v>
      </c>
      <c r="V34" s="7">
        <f t="shared" si="2"/>
        <v>2.0718232044198897</v>
      </c>
      <c r="W34" s="7">
        <f t="shared" si="3"/>
        <v>756.21546961325976</v>
      </c>
      <c r="X34" s="7">
        <f t="shared" si="4"/>
        <v>0.94526933701657467</v>
      </c>
      <c r="AA34" s="8">
        <f t="shared" si="5"/>
        <v>44927</v>
      </c>
      <c r="AB34" s="8">
        <f t="shared" si="6"/>
        <v>45291</v>
      </c>
      <c r="AC34" s="1">
        <v>1</v>
      </c>
      <c r="AD34" s="1">
        <f t="shared" si="7"/>
        <v>365</v>
      </c>
      <c r="AE34" s="1">
        <f t="shared" si="8"/>
        <v>0</v>
      </c>
      <c r="AF34" s="1">
        <f t="shared" si="9"/>
        <v>0</v>
      </c>
      <c r="AG34" s="1">
        <f t="shared" si="10"/>
        <v>0</v>
      </c>
      <c r="AH34" s="1">
        <f t="shared" si="11"/>
        <v>0</v>
      </c>
      <c r="AI34" s="5">
        <f t="shared" si="12"/>
        <v>1</v>
      </c>
      <c r="AJ34" s="5">
        <f t="shared" si="13"/>
        <v>0.94526933701657467</v>
      </c>
      <c r="AK34" s="5">
        <f t="shared" si="14"/>
        <v>0.94526933701657467</v>
      </c>
      <c r="AL34" s="5">
        <f t="shared" si="15"/>
        <v>0.94526933701657467</v>
      </c>
      <c r="AM34" s="5">
        <f t="shared" si="16"/>
        <v>0</v>
      </c>
      <c r="AN34" s="5">
        <f t="shared" si="17"/>
        <v>0.94526933701657467</v>
      </c>
      <c r="AO34" s="1" t="s">
        <v>102</v>
      </c>
    </row>
    <row r="35" spans="1:41" x14ac:dyDescent="0.25">
      <c r="A35" s="1" t="s">
        <v>19</v>
      </c>
      <c r="B35" s="1" t="s">
        <v>20</v>
      </c>
      <c r="C35" s="1" t="s">
        <v>21</v>
      </c>
      <c r="D35" s="1" t="s">
        <v>22</v>
      </c>
      <c r="E35" s="1" t="s">
        <v>96</v>
      </c>
      <c r="F35" s="1" t="s">
        <v>103</v>
      </c>
      <c r="G35" s="1" t="s">
        <v>155</v>
      </c>
      <c r="H35" s="1" t="s">
        <v>156</v>
      </c>
      <c r="I35" s="1" t="s">
        <v>157</v>
      </c>
      <c r="J35" s="1" t="s">
        <v>101</v>
      </c>
      <c r="L35" s="1">
        <v>2883582</v>
      </c>
      <c r="M35" s="1" t="s">
        <v>158</v>
      </c>
      <c r="N35" s="8">
        <f>DATE(2022,6,14)</f>
        <v>44726</v>
      </c>
      <c r="O35" s="8">
        <f>DATE(2022,9,28)</f>
        <v>44832</v>
      </c>
      <c r="P35" s="1">
        <v>200</v>
      </c>
      <c r="Q35" s="1">
        <v>160</v>
      </c>
      <c r="R35" s="1">
        <f t="shared" si="0"/>
        <v>200</v>
      </c>
      <c r="S35" s="1">
        <v>1</v>
      </c>
      <c r="U35" s="1">
        <f t="shared" si="1"/>
        <v>107</v>
      </c>
      <c r="V35" s="7">
        <f t="shared" si="2"/>
        <v>1.8691588785046729</v>
      </c>
      <c r="W35" s="7">
        <f t="shared" si="3"/>
        <v>200</v>
      </c>
      <c r="X35" s="7">
        <f t="shared" si="4"/>
        <v>0.25</v>
      </c>
      <c r="AA35" s="8">
        <f t="shared" si="5"/>
        <v>44927</v>
      </c>
      <c r="AB35" s="8">
        <f t="shared" si="6"/>
        <v>45291</v>
      </c>
      <c r="AC35" s="1">
        <v>14</v>
      </c>
      <c r="AD35" s="1">
        <f t="shared" si="7"/>
        <v>0</v>
      </c>
      <c r="AE35" s="1">
        <f t="shared" si="8"/>
        <v>0</v>
      </c>
      <c r="AF35" s="1">
        <f t="shared" si="9"/>
        <v>0</v>
      </c>
      <c r="AG35" s="1">
        <f t="shared" si="10"/>
        <v>0</v>
      </c>
      <c r="AH35" s="1">
        <f t="shared" si="11"/>
        <v>182.5</v>
      </c>
      <c r="AI35" s="5">
        <f t="shared" si="12"/>
        <v>1.705607476635514</v>
      </c>
      <c r="AJ35" s="5">
        <f t="shared" si="13"/>
        <v>0.42640186915887851</v>
      </c>
      <c r="AK35" s="5">
        <f t="shared" si="14"/>
        <v>2.9848130841121496</v>
      </c>
      <c r="AL35" s="5">
        <f t="shared" si="15"/>
        <v>2.9848130841121496</v>
      </c>
      <c r="AM35" s="5">
        <f t="shared" si="16"/>
        <v>0</v>
      </c>
      <c r="AN35" s="5">
        <f t="shared" si="17"/>
        <v>2.9848130841121496</v>
      </c>
      <c r="AO35" s="1" t="s">
        <v>102</v>
      </c>
    </row>
    <row r="36" spans="1:41" x14ac:dyDescent="0.25">
      <c r="A36" s="1" t="s">
        <v>19</v>
      </c>
      <c r="B36" s="1" t="s">
        <v>20</v>
      </c>
      <c r="C36" s="1" t="s">
        <v>21</v>
      </c>
      <c r="D36" s="1" t="s">
        <v>22</v>
      </c>
      <c r="E36" s="1" t="s">
        <v>96</v>
      </c>
      <c r="F36" s="1" t="s">
        <v>103</v>
      </c>
      <c r="G36" s="1" t="s">
        <v>155</v>
      </c>
      <c r="H36" s="1" t="s">
        <v>159</v>
      </c>
      <c r="I36" s="1" t="s">
        <v>100</v>
      </c>
      <c r="J36" s="1" t="s">
        <v>101</v>
      </c>
      <c r="L36" s="1">
        <v>2942376</v>
      </c>
      <c r="M36" s="1" t="s">
        <v>160</v>
      </c>
      <c r="N36" s="8">
        <f>DATE(2022,8,1)</f>
        <v>44774</v>
      </c>
      <c r="O36" s="8">
        <f>DATE(2024,6,30)</f>
        <v>45473</v>
      </c>
      <c r="P36" s="1">
        <v>200</v>
      </c>
      <c r="Q36" s="1">
        <v>160</v>
      </c>
      <c r="R36" s="1">
        <f t="shared" si="0"/>
        <v>200</v>
      </c>
      <c r="S36" s="1">
        <v>1</v>
      </c>
      <c r="U36" s="1">
        <f t="shared" si="1"/>
        <v>700</v>
      </c>
      <c r="V36" s="7">
        <f t="shared" si="2"/>
        <v>0.2857142857142857</v>
      </c>
      <c r="W36" s="7">
        <f t="shared" si="3"/>
        <v>104.28571428571428</v>
      </c>
      <c r="X36" s="7">
        <f t="shared" si="4"/>
        <v>0.13035714285714284</v>
      </c>
      <c r="AA36" s="8">
        <f t="shared" si="5"/>
        <v>44927</v>
      </c>
      <c r="AB36" s="8">
        <f t="shared" si="6"/>
        <v>45291</v>
      </c>
      <c r="AC36" s="1">
        <v>42</v>
      </c>
      <c r="AD36" s="1">
        <f t="shared" si="7"/>
        <v>365</v>
      </c>
      <c r="AE36" s="1">
        <f t="shared" si="8"/>
        <v>0</v>
      </c>
      <c r="AF36" s="1">
        <f t="shared" si="9"/>
        <v>0</v>
      </c>
      <c r="AG36" s="1">
        <f t="shared" si="10"/>
        <v>0</v>
      </c>
      <c r="AH36" s="1">
        <f t="shared" si="11"/>
        <v>0</v>
      </c>
      <c r="AI36" s="5">
        <f t="shared" si="12"/>
        <v>1</v>
      </c>
      <c r="AJ36" s="5">
        <f t="shared" si="13"/>
        <v>0.13035714285714284</v>
      </c>
      <c r="AK36" s="5">
        <f t="shared" si="14"/>
        <v>5.4749999999999996</v>
      </c>
      <c r="AL36" s="5">
        <f t="shared" si="15"/>
        <v>5.4749999999999996</v>
      </c>
      <c r="AM36" s="5">
        <f t="shared" si="16"/>
        <v>0</v>
      </c>
      <c r="AN36" s="5">
        <f t="shared" si="17"/>
        <v>5.4749999999999996</v>
      </c>
      <c r="AO36" s="1" t="s">
        <v>102</v>
      </c>
    </row>
    <row r="37" spans="1:41" x14ac:dyDescent="0.25">
      <c r="A37" s="1" t="s">
        <v>19</v>
      </c>
      <c r="B37" s="1" t="s">
        <v>20</v>
      </c>
      <c r="C37" s="1" t="s">
        <v>21</v>
      </c>
      <c r="D37" s="1" t="s">
        <v>22</v>
      </c>
      <c r="E37" s="1" t="s">
        <v>96</v>
      </c>
      <c r="F37" s="1" t="s">
        <v>103</v>
      </c>
      <c r="G37" s="1" t="s">
        <v>155</v>
      </c>
      <c r="H37" s="1" t="s">
        <v>161</v>
      </c>
      <c r="I37" s="1" t="s">
        <v>162</v>
      </c>
      <c r="J37" s="1" t="s">
        <v>101</v>
      </c>
      <c r="K37" s="1" t="s">
        <v>163</v>
      </c>
      <c r="L37" s="1">
        <v>2942383</v>
      </c>
      <c r="M37" s="1" t="s">
        <v>164</v>
      </c>
      <c r="N37" s="8">
        <f>DATE(2022,8,1)</f>
        <v>44774</v>
      </c>
      <c r="O37" s="8">
        <f>DATE(2023,8,1)</f>
        <v>45139</v>
      </c>
      <c r="P37" s="1">
        <v>160</v>
      </c>
      <c r="Q37" s="1">
        <v>160</v>
      </c>
      <c r="R37" s="1">
        <f t="shared" si="0"/>
        <v>160</v>
      </c>
      <c r="S37" s="1">
        <v>1</v>
      </c>
      <c r="U37" s="1">
        <f t="shared" si="1"/>
        <v>366</v>
      </c>
      <c r="V37" s="7">
        <f t="shared" si="2"/>
        <v>0.43715846994535518</v>
      </c>
      <c r="W37" s="7">
        <f t="shared" si="3"/>
        <v>159.56284153005464</v>
      </c>
      <c r="X37" s="7">
        <f t="shared" si="4"/>
        <v>0.19945355191256831</v>
      </c>
      <c r="AA37" s="8">
        <f t="shared" si="5"/>
        <v>44927</v>
      </c>
      <c r="AB37" s="8">
        <f t="shared" si="6"/>
        <v>45291</v>
      </c>
      <c r="AC37" s="1">
        <v>59</v>
      </c>
      <c r="AD37" s="1">
        <f t="shared" si="7"/>
        <v>0</v>
      </c>
      <c r="AE37" s="1">
        <f t="shared" si="8"/>
        <v>0</v>
      </c>
      <c r="AF37" s="1">
        <f t="shared" si="9"/>
        <v>213</v>
      </c>
      <c r="AG37" s="1">
        <f t="shared" si="10"/>
        <v>0</v>
      </c>
      <c r="AH37" s="1">
        <f t="shared" si="11"/>
        <v>0</v>
      </c>
      <c r="AI37" s="5">
        <f t="shared" si="12"/>
        <v>0.58356164383561648</v>
      </c>
      <c r="AJ37" s="5">
        <f t="shared" si="13"/>
        <v>0.11639344262295083</v>
      </c>
      <c r="AK37" s="5">
        <f t="shared" si="14"/>
        <v>6.8672131147540991</v>
      </c>
      <c r="AL37" s="5">
        <f t="shared" si="15"/>
        <v>6.8672131147540991</v>
      </c>
      <c r="AM37" s="5">
        <f t="shared" si="16"/>
        <v>0</v>
      </c>
      <c r="AN37" s="5">
        <f t="shared" si="17"/>
        <v>6.8672131147540991</v>
      </c>
      <c r="AO37" s="1" t="s">
        <v>102</v>
      </c>
    </row>
    <row r="38" spans="1:41" x14ac:dyDescent="0.25">
      <c r="A38" s="1" t="s">
        <v>19</v>
      </c>
      <c r="B38" s="1" t="s">
        <v>20</v>
      </c>
      <c r="C38" s="1" t="s">
        <v>21</v>
      </c>
      <c r="D38" s="1" t="s">
        <v>22</v>
      </c>
      <c r="E38" s="1" t="s">
        <v>96</v>
      </c>
      <c r="F38" s="1" t="s">
        <v>103</v>
      </c>
      <c r="G38" s="1" t="s">
        <v>127</v>
      </c>
      <c r="H38" s="1" t="s">
        <v>128</v>
      </c>
      <c r="I38" s="1" t="s">
        <v>100</v>
      </c>
      <c r="J38" s="1" t="s">
        <v>101</v>
      </c>
      <c r="L38" s="1">
        <v>2902225</v>
      </c>
      <c r="M38" s="1" t="s">
        <v>165</v>
      </c>
      <c r="N38" s="8">
        <f>DATE(2022,8,30)</f>
        <v>44803</v>
      </c>
      <c r="O38" s="8">
        <f>DATE(2024,8,30)</f>
        <v>45534</v>
      </c>
      <c r="P38" s="1">
        <v>1906</v>
      </c>
      <c r="Q38" s="1">
        <v>1600</v>
      </c>
      <c r="R38" s="1">
        <f t="shared" si="0"/>
        <v>1600</v>
      </c>
      <c r="S38" s="1">
        <v>1</v>
      </c>
      <c r="U38" s="1">
        <f t="shared" si="1"/>
        <v>732</v>
      </c>
      <c r="V38" s="7">
        <f t="shared" si="2"/>
        <v>2.1857923497267762</v>
      </c>
      <c r="W38" s="7">
        <f t="shared" si="3"/>
        <v>797.81420765027326</v>
      </c>
      <c r="X38" s="7">
        <f t="shared" si="4"/>
        <v>0.99726775956284153</v>
      </c>
      <c r="AA38" s="8">
        <f t="shared" si="5"/>
        <v>44927</v>
      </c>
      <c r="AB38" s="8">
        <f t="shared" si="6"/>
        <v>45291</v>
      </c>
      <c r="AC38" s="1">
        <v>25</v>
      </c>
      <c r="AD38" s="1">
        <f t="shared" si="7"/>
        <v>365</v>
      </c>
      <c r="AE38" s="1">
        <f t="shared" si="8"/>
        <v>0</v>
      </c>
      <c r="AF38" s="1">
        <f t="shared" si="9"/>
        <v>0</v>
      </c>
      <c r="AG38" s="1">
        <f t="shared" si="10"/>
        <v>0</v>
      </c>
      <c r="AH38" s="1">
        <f t="shared" si="11"/>
        <v>0</v>
      </c>
      <c r="AI38" s="5">
        <f t="shared" si="12"/>
        <v>1</v>
      </c>
      <c r="AJ38" s="5">
        <f t="shared" si="13"/>
        <v>0.99726775956284153</v>
      </c>
      <c r="AK38" s="5">
        <f t="shared" si="14"/>
        <v>24.931693989071039</v>
      </c>
      <c r="AL38" s="5">
        <f t="shared" si="15"/>
        <v>24.931693989071039</v>
      </c>
      <c r="AM38" s="5">
        <f t="shared" si="16"/>
        <v>0</v>
      </c>
      <c r="AN38" s="5">
        <f t="shared" si="17"/>
        <v>24.931693989071039</v>
      </c>
      <c r="AO38" s="1" t="s">
        <v>102</v>
      </c>
    </row>
    <row r="39" spans="1:41" x14ac:dyDescent="0.25">
      <c r="A39" s="1" t="s">
        <v>19</v>
      </c>
      <c r="B39" s="1" t="s">
        <v>20</v>
      </c>
      <c r="C39" s="1" t="s">
        <v>21</v>
      </c>
      <c r="D39" s="1" t="s">
        <v>22</v>
      </c>
      <c r="E39" s="1" t="s">
        <v>96</v>
      </c>
      <c r="F39" s="1" t="s">
        <v>103</v>
      </c>
      <c r="G39" s="1" t="s">
        <v>155</v>
      </c>
      <c r="H39" s="1" t="s">
        <v>166</v>
      </c>
      <c r="I39" s="1" t="s">
        <v>157</v>
      </c>
      <c r="J39" s="1" t="s">
        <v>101</v>
      </c>
      <c r="K39" s="1" t="s">
        <v>116</v>
      </c>
      <c r="L39" s="1">
        <v>2918686</v>
      </c>
      <c r="M39" s="1" t="s">
        <v>167</v>
      </c>
      <c r="N39" s="8">
        <f>DATE(2022,10,6)</f>
        <v>44840</v>
      </c>
      <c r="O39" s="8">
        <f>DATE(2023,2,28)</f>
        <v>44985</v>
      </c>
      <c r="P39" s="1">
        <v>200</v>
      </c>
      <c r="Q39" s="1">
        <v>240</v>
      </c>
      <c r="R39" s="1">
        <f t="shared" si="0"/>
        <v>200</v>
      </c>
      <c r="S39" s="1">
        <v>1.5</v>
      </c>
      <c r="U39" s="1">
        <f t="shared" si="1"/>
        <v>146</v>
      </c>
      <c r="V39" s="7">
        <f t="shared" si="2"/>
        <v>1.3698630136986301</v>
      </c>
      <c r="W39" s="7">
        <f t="shared" si="3"/>
        <v>200</v>
      </c>
      <c r="X39" s="7">
        <f t="shared" si="4"/>
        <v>0.25</v>
      </c>
      <c r="AA39" s="8">
        <f t="shared" si="5"/>
        <v>44927</v>
      </c>
      <c r="AB39" s="8">
        <f t="shared" si="6"/>
        <v>45291</v>
      </c>
      <c r="AC39" s="1">
        <v>36</v>
      </c>
      <c r="AD39" s="1">
        <f t="shared" si="7"/>
        <v>0</v>
      </c>
      <c r="AE39" s="1">
        <f t="shared" si="8"/>
        <v>0</v>
      </c>
      <c r="AF39" s="1">
        <f t="shared" si="9"/>
        <v>59</v>
      </c>
      <c r="AG39" s="1">
        <f t="shared" si="10"/>
        <v>0</v>
      </c>
      <c r="AH39" s="1">
        <f t="shared" si="11"/>
        <v>0</v>
      </c>
      <c r="AI39" s="5">
        <f t="shared" si="12"/>
        <v>0.4041095890410959</v>
      </c>
      <c r="AJ39" s="5">
        <f t="shared" si="13"/>
        <v>0.10102739726027397</v>
      </c>
      <c r="AK39" s="5">
        <f t="shared" si="14"/>
        <v>3.6369863013698631</v>
      </c>
      <c r="AL39" s="5">
        <f t="shared" si="15"/>
        <v>5.4554794520547949</v>
      </c>
      <c r="AM39" s="5">
        <f t="shared" si="16"/>
        <v>0</v>
      </c>
      <c r="AN39" s="5">
        <f t="shared" si="17"/>
        <v>5.4554794520547949</v>
      </c>
      <c r="AO39" s="1" t="s">
        <v>102</v>
      </c>
    </row>
    <row r="40" spans="1:41" x14ac:dyDescent="0.25">
      <c r="A40" s="1" t="s">
        <v>19</v>
      </c>
      <c r="B40" s="1" t="s">
        <v>20</v>
      </c>
      <c r="C40" s="1" t="s">
        <v>21</v>
      </c>
      <c r="D40" s="1" t="s">
        <v>22</v>
      </c>
      <c r="E40" s="1" t="s">
        <v>96</v>
      </c>
      <c r="F40" s="1" t="s">
        <v>103</v>
      </c>
      <c r="G40" s="1" t="s">
        <v>114</v>
      </c>
      <c r="H40" s="1" t="s">
        <v>115</v>
      </c>
      <c r="I40" s="1" t="s">
        <v>100</v>
      </c>
      <c r="J40" s="1" t="s">
        <v>101</v>
      </c>
      <c r="K40" s="1" t="s">
        <v>116</v>
      </c>
      <c r="L40" s="1">
        <v>2942927</v>
      </c>
      <c r="M40" s="1" t="s">
        <v>168</v>
      </c>
      <c r="N40" s="8">
        <f>DATE(2023,3,7)</f>
        <v>44992</v>
      </c>
      <c r="O40" s="8">
        <f>DATE(2025,12,22)</f>
        <v>46013</v>
      </c>
      <c r="P40" s="1">
        <v>3486</v>
      </c>
      <c r="Q40" s="1">
        <v>800</v>
      </c>
      <c r="R40" s="1">
        <f t="shared" si="0"/>
        <v>3000</v>
      </c>
      <c r="S40" s="1">
        <v>1.5</v>
      </c>
      <c r="U40" s="1">
        <f t="shared" si="1"/>
        <v>1022</v>
      </c>
      <c r="V40" s="7">
        <f t="shared" si="2"/>
        <v>2.9354207436399218</v>
      </c>
      <c r="W40" s="7">
        <f t="shared" si="3"/>
        <v>1071.4285714285716</v>
      </c>
      <c r="X40" s="7">
        <f t="shared" si="4"/>
        <v>1.3392857142857144</v>
      </c>
      <c r="AA40" s="8">
        <f t="shared" si="5"/>
        <v>44927</v>
      </c>
      <c r="AB40" s="8">
        <f t="shared" si="6"/>
        <v>45291</v>
      </c>
      <c r="AC40" s="1">
        <v>69</v>
      </c>
      <c r="AD40" s="1">
        <f t="shared" si="7"/>
        <v>0</v>
      </c>
      <c r="AE40" s="1">
        <f t="shared" si="8"/>
        <v>300</v>
      </c>
      <c r="AF40" s="1">
        <f t="shared" si="9"/>
        <v>0</v>
      </c>
      <c r="AG40" s="1">
        <f t="shared" si="10"/>
        <v>0</v>
      </c>
      <c r="AH40" s="1">
        <f t="shared" si="11"/>
        <v>0</v>
      </c>
      <c r="AI40" s="5">
        <f t="shared" si="12"/>
        <v>0.82191780821917804</v>
      </c>
      <c r="AJ40" s="5">
        <f t="shared" si="13"/>
        <v>1.1007827788649707</v>
      </c>
      <c r="AK40" s="5">
        <f t="shared" si="14"/>
        <v>75.954011741682976</v>
      </c>
      <c r="AL40" s="5">
        <f t="shared" si="15"/>
        <v>113.93101761252447</v>
      </c>
      <c r="AM40" s="5">
        <f t="shared" si="16"/>
        <v>0</v>
      </c>
      <c r="AN40" s="5">
        <f t="shared" si="17"/>
        <v>113.93101761252447</v>
      </c>
      <c r="AO40" s="1" t="s">
        <v>102</v>
      </c>
    </row>
    <row r="41" spans="1:41" x14ac:dyDescent="0.25">
      <c r="A41" s="1" t="s">
        <v>19</v>
      </c>
      <c r="B41" s="1" t="s">
        <v>20</v>
      </c>
      <c r="C41" s="1" t="s">
        <v>21</v>
      </c>
      <c r="D41" s="1" t="s">
        <v>22</v>
      </c>
      <c r="E41" s="1" t="s">
        <v>96</v>
      </c>
      <c r="F41" s="1" t="s">
        <v>103</v>
      </c>
      <c r="G41" s="1" t="s">
        <v>114</v>
      </c>
      <c r="H41" s="1" t="s">
        <v>119</v>
      </c>
      <c r="I41" s="1" t="s">
        <v>105</v>
      </c>
      <c r="J41" s="1" t="s">
        <v>106</v>
      </c>
      <c r="K41" s="1" t="s">
        <v>116</v>
      </c>
      <c r="L41" s="1">
        <v>2942928</v>
      </c>
      <c r="M41" s="1" t="s">
        <v>169</v>
      </c>
      <c r="N41" s="8">
        <f>DATE(2023,3,7)</f>
        <v>44992</v>
      </c>
      <c r="O41" s="8">
        <f>DATE(2025,12,22)</f>
        <v>46013</v>
      </c>
      <c r="P41" s="1">
        <v>3486</v>
      </c>
      <c r="Q41" s="1">
        <v>1200</v>
      </c>
      <c r="R41" s="1">
        <f t="shared" si="0"/>
        <v>3200</v>
      </c>
      <c r="S41" s="1">
        <v>2.5</v>
      </c>
      <c r="U41" s="1">
        <f t="shared" si="1"/>
        <v>1022</v>
      </c>
      <c r="V41" s="7">
        <f t="shared" si="2"/>
        <v>3.131115459882583</v>
      </c>
      <c r="W41" s="7">
        <f t="shared" si="3"/>
        <v>1142.8571428571429</v>
      </c>
      <c r="X41" s="7">
        <f t="shared" si="4"/>
        <v>1.4285714285714286</v>
      </c>
      <c r="AA41" s="8">
        <f t="shared" si="5"/>
        <v>44927</v>
      </c>
      <c r="AB41" s="8">
        <f t="shared" si="6"/>
        <v>45291</v>
      </c>
      <c r="AC41" s="1">
        <v>104</v>
      </c>
      <c r="AD41" s="1">
        <f t="shared" si="7"/>
        <v>0</v>
      </c>
      <c r="AE41" s="1">
        <f t="shared" si="8"/>
        <v>300</v>
      </c>
      <c r="AF41" s="1">
        <f t="shared" si="9"/>
        <v>0</v>
      </c>
      <c r="AG41" s="1">
        <f t="shared" si="10"/>
        <v>0</v>
      </c>
      <c r="AH41" s="1">
        <f t="shared" si="11"/>
        <v>0</v>
      </c>
      <c r="AI41" s="5">
        <f t="shared" si="12"/>
        <v>0.82191780821917804</v>
      </c>
      <c r="AJ41" s="5">
        <f t="shared" si="13"/>
        <v>1.1741682974559686</v>
      </c>
      <c r="AK41" s="5">
        <f t="shared" si="14"/>
        <v>122.11350293542074</v>
      </c>
      <c r="AL41" s="5">
        <f t="shared" si="15"/>
        <v>305.28375733855182</v>
      </c>
      <c r="AM41" s="5">
        <f t="shared" si="16"/>
        <v>152.64187866927591</v>
      </c>
      <c r="AN41" s="5">
        <f t="shared" si="17"/>
        <v>457.92563600782773</v>
      </c>
      <c r="AO41" s="1" t="s">
        <v>102</v>
      </c>
    </row>
    <row r="42" spans="1:41" x14ac:dyDescent="0.25">
      <c r="A42" s="1" t="s">
        <v>19</v>
      </c>
      <c r="B42" s="1" t="s">
        <v>20</v>
      </c>
      <c r="C42" s="1" t="s">
        <v>21</v>
      </c>
      <c r="D42" s="1" t="s">
        <v>22</v>
      </c>
      <c r="E42" s="1" t="s">
        <v>96</v>
      </c>
      <c r="F42" s="1" t="s">
        <v>103</v>
      </c>
      <c r="G42" s="1" t="s">
        <v>98</v>
      </c>
      <c r="H42" s="1" t="s">
        <v>99</v>
      </c>
      <c r="I42" s="1" t="s">
        <v>100</v>
      </c>
      <c r="J42" s="1" t="s">
        <v>101</v>
      </c>
      <c r="L42" s="1">
        <v>2942930</v>
      </c>
      <c r="M42" s="1" t="s">
        <v>170</v>
      </c>
      <c r="N42" s="8">
        <f>DATE(2023,3,7)</f>
        <v>44992</v>
      </c>
      <c r="O42" s="8">
        <f>DATE(2027,3,8)</f>
        <v>46454</v>
      </c>
      <c r="P42" s="1">
        <v>3120</v>
      </c>
      <c r="Q42" s="1">
        <v>3000</v>
      </c>
      <c r="R42" s="1">
        <f t="shared" si="0"/>
        <v>3000</v>
      </c>
      <c r="S42" s="1">
        <v>1</v>
      </c>
      <c r="U42" s="1">
        <f t="shared" si="1"/>
        <v>1463</v>
      </c>
      <c r="V42" s="7">
        <f t="shared" si="2"/>
        <v>2.0505809979494192</v>
      </c>
      <c r="W42" s="7">
        <f t="shared" si="3"/>
        <v>748.46206425153798</v>
      </c>
      <c r="X42" s="7">
        <f t="shared" si="4"/>
        <v>0.93557758031442251</v>
      </c>
      <c r="AA42" s="8">
        <f t="shared" si="5"/>
        <v>44927</v>
      </c>
      <c r="AB42" s="8">
        <f t="shared" si="6"/>
        <v>45291</v>
      </c>
      <c r="AC42" s="1">
        <v>36</v>
      </c>
      <c r="AD42" s="1">
        <f t="shared" si="7"/>
        <v>0</v>
      </c>
      <c r="AE42" s="1">
        <f t="shared" si="8"/>
        <v>300</v>
      </c>
      <c r="AF42" s="1">
        <f t="shared" si="9"/>
        <v>0</v>
      </c>
      <c r="AG42" s="1">
        <f t="shared" si="10"/>
        <v>0</v>
      </c>
      <c r="AH42" s="1">
        <f t="shared" si="11"/>
        <v>0</v>
      </c>
      <c r="AI42" s="5">
        <f t="shared" si="12"/>
        <v>0.82191780821917804</v>
      </c>
      <c r="AJ42" s="5">
        <f t="shared" si="13"/>
        <v>0.76896787423103219</v>
      </c>
      <c r="AK42" s="5">
        <f t="shared" si="14"/>
        <v>27.68284347231716</v>
      </c>
      <c r="AL42" s="5">
        <f t="shared" si="15"/>
        <v>27.68284347231716</v>
      </c>
      <c r="AM42" s="5">
        <f t="shared" si="16"/>
        <v>0</v>
      </c>
      <c r="AN42" s="5">
        <f t="shared" si="17"/>
        <v>27.68284347231716</v>
      </c>
      <c r="AO42" s="1" t="s">
        <v>102</v>
      </c>
    </row>
    <row r="43" spans="1:41" x14ac:dyDescent="0.25">
      <c r="A43" s="1" t="s">
        <v>19</v>
      </c>
      <c r="B43" s="1" t="s">
        <v>20</v>
      </c>
      <c r="C43" s="1" t="s">
        <v>21</v>
      </c>
      <c r="D43" s="1" t="s">
        <v>22</v>
      </c>
      <c r="E43" s="1" t="s">
        <v>96</v>
      </c>
      <c r="F43" s="1" t="s">
        <v>103</v>
      </c>
      <c r="G43" s="1" t="s">
        <v>98</v>
      </c>
      <c r="H43" s="1" t="s">
        <v>104</v>
      </c>
      <c r="I43" s="1" t="s">
        <v>105</v>
      </c>
      <c r="J43" s="1" t="s">
        <v>106</v>
      </c>
      <c r="L43" s="1">
        <v>2965355</v>
      </c>
      <c r="M43" s="1" t="s">
        <v>171</v>
      </c>
      <c r="N43" s="8">
        <f>DATE(2023,3,7)</f>
        <v>44992</v>
      </c>
      <c r="O43" s="8">
        <f>DATE(2027,12,23)</f>
        <v>46744</v>
      </c>
      <c r="P43" s="1">
        <v>4208</v>
      </c>
      <c r="Q43" s="1">
        <v>3600</v>
      </c>
      <c r="R43" s="1">
        <f t="shared" si="0"/>
        <v>3600</v>
      </c>
      <c r="S43" s="1">
        <v>2.5</v>
      </c>
      <c r="U43" s="1">
        <f t="shared" si="1"/>
        <v>1753</v>
      </c>
      <c r="V43" s="7">
        <f t="shared" si="2"/>
        <v>2.0536223616657159</v>
      </c>
      <c r="W43" s="7">
        <f t="shared" si="3"/>
        <v>749.57216200798632</v>
      </c>
      <c r="X43" s="7">
        <f t="shared" si="4"/>
        <v>0.93696520250998294</v>
      </c>
      <c r="AA43" s="8">
        <f t="shared" si="5"/>
        <v>44927</v>
      </c>
      <c r="AB43" s="8">
        <f t="shared" si="6"/>
        <v>45291</v>
      </c>
      <c r="AC43" s="1">
        <v>33</v>
      </c>
      <c r="AD43" s="1">
        <f t="shared" si="7"/>
        <v>0</v>
      </c>
      <c r="AE43" s="1">
        <f t="shared" si="8"/>
        <v>300</v>
      </c>
      <c r="AF43" s="1">
        <f t="shared" si="9"/>
        <v>0</v>
      </c>
      <c r="AG43" s="1">
        <f t="shared" si="10"/>
        <v>0</v>
      </c>
      <c r="AH43" s="1">
        <f t="shared" si="11"/>
        <v>0</v>
      </c>
      <c r="AI43" s="5">
        <f t="shared" si="12"/>
        <v>0.82191780821917804</v>
      </c>
      <c r="AJ43" s="5">
        <f t="shared" si="13"/>
        <v>0.77010838562464345</v>
      </c>
      <c r="AK43" s="5">
        <f t="shared" si="14"/>
        <v>25.413576725613233</v>
      </c>
      <c r="AL43" s="5">
        <f t="shared" si="15"/>
        <v>63.533941814033085</v>
      </c>
      <c r="AM43" s="5">
        <f t="shared" si="16"/>
        <v>31.766970907016542</v>
      </c>
      <c r="AN43" s="5">
        <f t="shared" si="17"/>
        <v>95.300912721049627</v>
      </c>
      <c r="AO43" s="1" t="s">
        <v>102</v>
      </c>
    </row>
    <row r="44" spans="1:41" x14ac:dyDescent="0.25">
      <c r="A44" s="1" t="s">
        <v>19</v>
      </c>
      <c r="B44" s="1" t="s">
        <v>20</v>
      </c>
      <c r="C44" s="1" t="s">
        <v>21</v>
      </c>
      <c r="D44" s="1" t="s">
        <v>22</v>
      </c>
      <c r="E44" s="1" t="s">
        <v>172</v>
      </c>
      <c r="F44" s="1" t="s">
        <v>103</v>
      </c>
      <c r="G44" s="1" t="s">
        <v>114</v>
      </c>
      <c r="H44" s="1" t="s">
        <v>173</v>
      </c>
      <c r="I44" s="1" t="s">
        <v>174</v>
      </c>
      <c r="J44" s="1" t="s">
        <v>101</v>
      </c>
      <c r="K44" s="1" t="s">
        <v>175</v>
      </c>
      <c r="L44" s="1">
        <v>2959613</v>
      </c>
      <c r="M44" s="1" t="s">
        <v>176</v>
      </c>
      <c r="N44" s="8">
        <f>DATE(2023,4,3)</f>
        <v>45019</v>
      </c>
      <c r="O44" s="8">
        <f>DATE(2024,8,31)</f>
        <v>45535</v>
      </c>
      <c r="P44" s="1">
        <v>1200</v>
      </c>
      <c r="Q44" s="1">
        <v>1200</v>
      </c>
      <c r="R44" s="1">
        <f t="shared" si="0"/>
        <v>1200</v>
      </c>
      <c r="S44" s="1">
        <v>2</v>
      </c>
      <c r="U44" s="1">
        <f t="shared" si="1"/>
        <v>517</v>
      </c>
      <c r="V44" s="7">
        <f t="shared" si="2"/>
        <v>2.3210831721470018</v>
      </c>
      <c r="W44" s="7">
        <f t="shared" si="3"/>
        <v>847.19535783365563</v>
      </c>
      <c r="X44" s="7">
        <f t="shared" si="4"/>
        <v>1.0589941972920696</v>
      </c>
      <c r="AA44" s="8">
        <f t="shared" si="5"/>
        <v>44927</v>
      </c>
      <c r="AB44" s="8">
        <f t="shared" si="6"/>
        <v>45291</v>
      </c>
      <c r="AC44" s="1">
        <v>25</v>
      </c>
      <c r="AD44" s="1">
        <f t="shared" si="7"/>
        <v>0</v>
      </c>
      <c r="AE44" s="1">
        <f t="shared" si="8"/>
        <v>273</v>
      </c>
      <c r="AF44" s="1">
        <f t="shared" si="9"/>
        <v>0</v>
      </c>
      <c r="AG44" s="1">
        <f t="shared" si="10"/>
        <v>0</v>
      </c>
      <c r="AH44" s="1">
        <f t="shared" si="11"/>
        <v>0</v>
      </c>
      <c r="AI44" s="5">
        <f t="shared" si="12"/>
        <v>0.74794520547945209</v>
      </c>
      <c r="AJ44" s="5">
        <f t="shared" si="13"/>
        <v>0.79206963249516438</v>
      </c>
      <c r="AK44" s="5">
        <f t="shared" si="14"/>
        <v>19.801740812379109</v>
      </c>
      <c r="AL44" s="5">
        <f t="shared" si="15"/>
        <v>39.603481624758217</v>
      </c>
      <c r="AM44" s="5">
        <f t="shared" si="16"/>
        <v>0</v>
      </c>
      <c r="AN44" s="5">
        <f t="shared" si="17"/>
        <v>39.603481624758217</v>
      </c>
      <c r="AO44" s="1" t="s">
        <v>122</v>
      </c>
    </row>
    <row r="45" spans="1:41" x14ac:dyDescent="0.25">
      <c r="A45" s="1" t="s">
        <v>19</v>
      </c>
      <c r="B45" s="1" t="s">
        <v>20</v>
      </c>
      <c r="C45" s="1" t="s">
        <v>21</v>
      </c>
      <c r="D45" s="1" t="s">
        <v>22</v>
      </c>
      <c r="E45" s="1" t="s">
        <v>172</v>
      </c>
      <c r="F45" s="1" t="s">
        <v>103</v>
      </c>
      <c r="G45" s="1" t="s">
        <v>114</v>
      </c>
      <c r="H45" s="1" t="s">
        <v>177</v>
      </c>
      <c r="I45" s="1" t="s">
        <v>174</v>
      </c>
      <c r="J45" s="1" t="s">
        <v>101</v>
      </c>
      <c r="K45" s="1" t="s">
        <v>175</v>
      </c>
      <c r="L45" s="1">
        <v>2959615</v>
      </c>
      <c r="M45" s="1" t="s">
        <v>178</v>
      </c>
      <c r="N45" s="8">
        <f>DATE(2023,4,3)</f>
        <v>45019</v>
      </c>
      <c r="O45" s="8">
        <f>DATE(2024,8,31)</f>
        <v>45535</v>
      </c>
      <c r="P45" s="1">
        <v>1200</v>
      </c>
      <c r="Q45" s="1">
        <v>1200</v>
      </c>
      <c r="R45" s="1">
        <f t="shared" si="0"/>
        <v>1200</v>
      </c>
      <c r="S45" s="1">
        <v>1</v>
      </c>
      <c r="U45" s="1">
        <f t="shared" si="1"/>
        <v>517</v>
      </c>
      <c r="V45" s="7">
        <f t="shared" si="2"/>
        <v>2.3210831721470018</v>
      </c>
      <c r="W45" s="7">
        <f t="shared" si="3"/>
        <v>847.19535783365563</v>
      </c>
      <c r="X45" s="7">
        <f t="shared" si="4"/>
        <v>1.0589941972920696</v>
      </c>
      <c r="AA45" s="8">
        <f t="shared" si="5"/>
        <v>44927</v>
      </c>
      <c r="AB45" s="8">
        <f t="shared" si="6"/>
        <v>45291</v>
      </c>
      <c r="AC45" s="1">
        <v>22</v>
      </c>
      <c r="AD45" s="1">
        <f t="shared" si="7"/>
        <v>0</v>
      </c>
      <c r="AE45" s="1">
        <f t="shared" si="8"/>
        <v>273</v>
      </c>
      <c r="AF45" s="1">
        <f t="shared" si="9"/>
        <v>0</v>
      </c>
      <c r="AG45" s="1">
        <f t="shared" si="10"/>
        <v>0</v>
      </c>
      <c r="AH45" s="1">
        <f t="shared" si="11"/>
        <v>0</v>
      </c>
      <c r="AI45" s="5">
        <f t="shared" si="12"/>
        <v>0.74794520547945209</v>
      </c>
      <c r="AJ45" s="5">
        <f t="shared" si="13"/>
        <v>0.79206963249516438</v>
      </c>
      <c r="AK45" s="5">
        <f t="shared" si="14"/>
        <v>17.425531914893618</v>
      </c>
      <c r="AL45" s="5">
        <f t="shared" si="15"/>
        <v>17.425531914893618</v>
      </c>
      <c r="AM45" s="5">
        <f t="shared" si="16"/>
        <v>0</v>
      </c>
      <c r="AN45" s="5">
        <f t="shared" si="17"/>
        <v>17.425531914893618</v>
      </c>
      <c r="AO45" s="1" t="s">
        <v>122</v>
      </c>
    </row>
    <row r="46" spans="1:41" x14ac:dyDescent="0.25">
      <c r="A46" s="1" t="s">
        <v>19</v>
      </c>
      <c r="B46" s="1" t="s">
        <v>20</v>
      </c>
      <c r="C46" s="1" t="s">
        <v>21</v>
      </c>
      <c r="D46" s="1" t="s">
        <v>22</v>
      </c>
      <c r="E46" s="1" t="s">
        <v>172</v>
      </c>
      <c r="F46" s="1" t="s">
        <v>103</v>
      </c>
      <c r="G46" s="1" t="s">
        <v>114</v>
      </c>
      <c r="H46" s="1" t="s">
        <v>179</v>
      </c>
      <c r="I46" s="1" t="s">
        <v>174</v>
      </c>
      <c r="J46" s="1" t="s">
        <v>101</v>
      </c>
      <c r="K46" s="1" t="s">
        <v>175</v>
      </c>
      <c r="L46" s="1">
        <v>2959616</v>
      </c>
      <c r="M46" s="1" t="s">
        <v>180</v>
      </c>
      <c r="N46" s="8">
        <f>DATE(2023,4,3)</f>
        <v>45019</v>
      </c>
      <c r="O46" s="8">
        <f>DATE(2024,8,31)</f>
        <v>45535</v>
      </c>
      <c r="P46" s="1">
        <v>1200</v>
      </c>
      <c r="Q46" s="1">
        <v>800</v>
      </c>
      <c r="R46" s="1">
        <f t="shared" si="0"/>
        <v>800</v>
      </c>
      <c r="S46" s="1">
        <v>1.5</v>
      </c>
      <c r="U46" s="1">
        <f t="shared" si="1"/>
        <v>517</v>
      </c>
      <c r="V46" s="7">
        <f t="shared" si="2"/>
        <v>1.5473887814313345</v>
      </c>
      <c r="W46" s="7">
        <f t="shared" si="3"/>
        <v>564.79690522243709</v>
      </c>
      <c r="X46" s="7">
        <f t="shared" si="4"/>
        <v>0.70599613152804641</v>
      </c>
      <c r="AA46" s="8">
        <f t="shared" si="5"/>
        <v>44927</v>
      </c>
      <c r="AB46" s="8">
        <f t="shared" si="6"/>
        <v>45291</v>
      </c>
      <c r="AC46" s="1">
        <v>13</v>
      </c>
      <c r="AD46" s="1">
        <f t="shared" si="7"/>
        <v>0</v>
      </c>
      <c r="AE46" s="1">
        <f t="shared" si="8"/>
        <v>273</v>
      </c>
      <c r="AF46" s="1">
        <f t="shared" si="9"/>
        <v>0</v>
      </c>
      <c r="AG46" s="1">
        <f t="shared" si="10"/>
        <v>0</v>
      </c>
      <c r="AH46" s="1">
        <f t="shared" si="11"/>
        <v>0</v>
      </c>
      <c r="AI46" s="5">
        <f t="shared" si="12"/>
        <v>0.74794520547945209</v>
      </c>
      <c r="AJ46" s="5">
        <f t="shared" si="13"/>
        <v>0.52804642166344296</v>
      </c>
      <c r="AK46" s="5">
        <f t="shared" si="14"/>
        <v>6.8646034816247585</v>
      </c>
      <c r="AL46" s="5">
        <f t="shared" si="15"/>
        <v>10.296905222437138</v>
      </c>
      <c r="AM46" s="5">
        <f t="shared" si="16"/>
        <v>0</v>
      </c>
      <c r="AN46" s="5">
        <f t="shared" si="17"/>
        <v>10.296905222437138</v>
      </c>
      <c r="AO46" s="1" t="s">
        <v>122</v>
      </c>
    </row>
    <row r="47" spans="1:41" x14ac:dyDescent="0.25">
      <c r="A47" s="1" t="s">
        <v>19</v>
      </c>
      <c r="B47" s="1" t="s">
        <v>20</v>
      </c>
      <c r="C47" s="1" t="s">
        <v>21</v>
      </c>
      <c r="D47" s="1" t="s">
        <v>22</v>
      </c>
      <c r="E47" s="1" t="s">
        <v>96</v>
      </c>
      <c r="F47" s="1" t="s">
        <v>181</v>
      </c>
      <c r="G47" s="1" t="s">
        <v>155</v>
      </c>
      <c r="H47" s="1" t="s">
        <v>182</v>
      </c>
      <c r="I47" s="1" t="s">
        <v>105</v>
      </c>
      <c r="J47" s="1" t="s">
        <v>101</v>
      </c>
      <c r="K47" s="1" t="s">
        <v>183</v>
      </c>
      <c r="L47" s="1">
        <v>2986980</v>
      </c>
      <c r="M47" s="1" t="s">
        <v>184</v>
      </c>
      <c r="N47" s="8">
        <f>DATE(2023,5,2)</f>
        <v>45048</v>
      </c>
      <c r="O47" s="8">
        <f>DATE(2023,10,30)</f>
        <v>45229</v>
      </c>
      <c r="P47" s="1">
        <v>200</v>
      </c>
      <c r="Q47" s="1">
        <v>160</v>
      </c>
      <c r="R47" s="1">
        <f t="shared" si="0"/>
        <v>200</v>
      </c>
      <c r="S47" s="1">
        <v>2.5</v>
      </c>
      <c r="U47" s="1">
        <f t="shared" si="1"/>
        <v>182</v>
      </c>
      <c r="V47" s="7">
        <f t="shared" si="2"/>
        <v>1.098901098901099</v>
      </c>
      <c r="W47" s="7">
        <f t="shared" si="3"/>
        <v>200</v>
      </c>
      <c r="X47" s="7">
        <f t="shared" si="4"/>
        <v>0.25</v>
      </c>
      <c r="AA47" s="8">
        <f t="shared" si="5"/>
        <v>44927</v>
      </c>
      <c r="AB47" s="8">
        <f t="shared" si="6"/>
        <v>45291</v>
      </c>
      <c r="AC47" s="1">
        <v>31</v>
      </c>
      <c r="AD47" s="1">
        <f t="shared" si="7"/>
        <v>0</v>
      </c>
      <c r="AE47" s="1">
        <f t="shared" si="8"/>
        <v>0</v>
      </c>
      <c r="AF47" s="1">
        <f t="shared" si="9"/>
        <v>0</v>
      </c>
      <c r="AG47" s="1">
        <f t="shared" si="10"/>
        <v>182</v>
      </c>
      <c r="AH47" s="1">
        <f t="shared" si="11"/>
        <v>0</v>
      </c>
      <c r="AI47" s="5">
        <f t="shared" si="12"/>
        <v>1</v>
      </c>
      <c r="AJ47" s="5">
        <f t="shared" si="13"/>
        <v>0.25</v>
      </c>
      <c r="AK47" s="5">
        <f t="shared" si="14"/>
        <v>7.75</v>
      </c>
      <c r="AL47" s="5">
        <f t="shared" si="15"/>
        <v>19.375</v>
      </c>
      <c r="AM47" s="5">
        <f t="shared" si="16"/>
        <v>0</v>
      </c>
      <c r="AN47" s="5">
        <f t="shared" si="17"/>
        <v>19.375</v>
      </c>
      <c r="AO47" s="1" t="s">
        <v>102</v>
      </c>
    </row>
    <row r="48" spans="1:41" x14ac:dyDescent="0.25">
      <c r="A48" s="1" t="s">
        <v>19</v>
      </c>
      <c r="B48" s="1" t="s">
        <v>20</v>
      </c>
      <c r="C48" s="1" t="s">
        <v>21</v>
      </c>
      <c r="D48" s="1" t="s">
        <v>22</v>
      </c>
      <c r="E48" s="1" t="s">
        <v>172</v>
      </c>
      <c r="F48" s="1" t="s">
        <v>103</v>
      </c>
      <c r="G48" s="1" t="s">
        <v>185</v>
      </c>
      <c r="H48" s="1" t="s">
        <v>186</v>
      </c>
      <c r="I48" s="1" t="s">
        <v>100</v>
      </c>
      <c r="J48" s="1" t="s">
        <v>101</v>
      </c>
      <c r="L48" s="1">
        <v>2998724</v>
      </c>
      <c r="M48" s="1" t="s">
        <v>187</v>
      </c>
      <c r="N48" s="8">
        <f>DATE(2023,6,19)</f>
        <v>45096</v>
      </c>
      <c r="O48" s="8">
        <f>DATE(2024,5,20)</f>
        <v>45432</v>
      </c>
      <c r="P48" s="1">
        <v>360</v>
      </c>
      <c r="Q48" s="1">
        <v>360</v>
      </c>
      <c r="R48" s="1">
        <f t="shared" si="0"/>
        <v>360</v>
      </c>
      <c r="S48" s="1">
        <v>1</v>
      </c>
      <c r="U48" s="1">
        <f t="shared" si="1"/>
        <v>337</v>
      </c>
      <c r="V48" s="7">
        <f t="shared" si="2"/>
        <v>1.0682492581602374</v>
      </c>
      <c r="W48" s="7">
        <f t="shared" si="3"/>
        <v>360</v>
      </c>
      <c r="X48" s="7">
        <f t="shared" si="4"/>
        <v>0.45</v>
      </c>
      <c r="AA48" s="8">
        <f t="shared" si="5"/>
        <v>44927</v>
      </c>
      <c r="AB48" s="8">
        <f t="shared" si="6"/>
        <v>45291</v>
      </c>
      <c r="AC48" s="1">
        <v>35</v>
      </c>
      <c r="AD48" s="1">
        <f t="shared" si="7"/>
        <v>0</v>
      </c>
      <c r="AE48" s="1">
        <f t="shared" si="8"/>
        <v>196</v>
      </c>
      <c r="AF48" s="1">
        <f t="shared" si="9"/>
        <v>0</v>
      </c>
      <c r="AG48" s="1">
        <f t="shared" si="10"/>
        <v>0</v>
      </c>
      <c r="AH48" s="1">
        <f t="shared" si="11"/>
        <v>0</v>
      </c>
      <c r="AI48" s="5">
        <f t="shared" si="12"/>
        <v>0.58160237388724034</v>
      </c>
      <c r="AJ48" s="5">
        <f t="shared" si="13"/>
        <v>0.26172106824925817</v>
      </c>
      <c r="AK48" s="5">
        <f t="shared" si="14"/>
        <v>9.1602373887240365</v>
      </c>
      <c r="AL48" s="5">
        <f t="shared" si="15"/>
        <v>9.1602373887240365</v>
      </c>
      <c r="AM48" s="5">
        <f t="shared" si="16"/>
        <v>0</v>
      </c>
      <c r="AN48" s="5">
        <f t="shared" si="17"/>
        <v>9.1602373887240365</v>
      </c>
      <c r="AO48" s="1" t="s">
        <v>122</v>
      </c>
    </row>
    <row r="49" spans="1:41" x14ac:dyDescent="0.25">
      <c r="A49" s="1" t="s">
        <v>19</v>
      </c>
      <c r="B49" s="1" t="s">
        <v>20</v>
      </c>
      <c r="C49" s="1" t="s">
        <v>21</v>
      </c>
      <c r="D49" s="1" t="s">
        <v>22</v>
      </c>
      <c r="E49" s="1" t="s">
        <v>96</v>
      </c>
      <c r="F49" s="1" t="s">
        <v>103</v>
      </c>
      <c r="G49" s="1" t="s">
        <v>127</v>
      </c>
      <c r="H49" s="1" t="s">
        <v>128</v>
      </c>
      <c r="I49" s="1" t="s">
        <v>100</v>
      </c>
      <c r="J49" s="1" t="s">
        <v>101</v>
      </c>
      <c r="L49" s="1">
        <v>2999977</v>
      </c>
      <c r="M49" s="1" t="s">
        <v>188</v>
      </c>
      <c r="N49" s="8">
        <f>DATE(2023,8,14)</f>
        <v>45152</v>
      </c>
      <c r="O49" s="8">
        <f>DATE(2025,8,30)</f>
        <v>45899</v>
      </c>
      <c r="P49" s="1">
        <v>1600</v>
      </c>
      <c r="Q49" s="1">
        <v>1600</v>
      </c>
      <c r="R49" s="1">
        <f t="shared" si="0"/>
        <v>1600</v>
      </c>
      <c r="S49" s="1">
        <v>1</v>
      </c>
      <c r="U49" s="1">
        <f t="shared" si="1"/>
        <v>748</v>
      </c>
      <c r="V49" s="7">
        <f t="shared" si="2"/>
        <v>2.1390374331550803</v>
      </c>
      <c r="W49" s="7">
        <f t="shared" si="3"/>
        <v>780.74866310160428</v>
      </c>
      <c r="X49" s="7">
        <f t="shared" si="4"/>
        <v>0.97593582887700536</v>
      </c>
      <c r="AA49" s="8">
        <f t="shared" si="5"/>
        <v>44927</v>
      </c>
      <c r="AB49" s="8">
        <f t="shared" si="6"/>
        <v>45291</v>
      </c>
      <c r="AC49" s="1">
        <v>38</v>
      </c>
      <c r="AD49" s="1">
        <f t="shared" si="7"/>
        <v>0</v>
      </c>
      <c r="AE49" s="1">
        <f t="shared" si="8"/>
        <v>140</v>
      </c>
      <c r="AF49" s="1">
        <f t="shared" si="9"/>
        <v>0</v>
      </c>
      <c r="AG49" s="1">
        <f t="shared" si="10"/>
        <v>0</v>
      </c>
      <c r="AH49" s="1">
        <f t="shared" si="11"/>
        <v>0</v>
      </c>
      <c r="AI49" s="5">
        <f t="shared" si="12"/>
        <v>0.38356164383561642</v>
      </c>
      <c r="AJ49" s="5">
        <f t="shared" si="13"/>
        <v>0.37433155080213903</v>
      </c>
      <c r="AK49" s="5">
        <f t="shared" si="14"/>
        <v>14.224598930481283</v>
      </c>
      <c r="AL49" s="5">
        <f t="shared" si="15"/>
        <v>14.224598930481283</v>
      </c>
      <c r="AM49" s="5">
        <f t="shared" si="16"/>
        <v>0</v>
      </c>
      <c r="AN49" s="5">
        <f t="shared" si="17"/>
        <v>14.224598930481283</v>
      </c>
      <c r="AO49" s="1" t="s">
        <v>102</v>
      </c>
    </row>
    <row r="50" spans="1:41" x14ac:dyDescent="0.25">
      <c r="A50" s="1" t="s">
        <v>19</v>
      </c>
      <c r="B50" s="1" t="s">
        <v>20</v>
      </c>
      <c r="C50" s="1" t="s">
        <v>21</v>
      </c>
      <c r="D50" s="1" t="s">
        <v>22</v>
      </c>
      <c r="E50" s="1" t="s">
        <v>96</v>
      </c>
      <c r="F50" s="1" t="s">
        <v>103</v>
      </c>
      <c r="G50" s="1" t="s">
        <v>114</v>
      </c>
      <c r="H50" s="1" t="s">
        <v>115</v>
      </c>
      <c r="I50" s="1" t="s">
        <v>100</v>
      </c>
      <c r="J50" s="1" t="s">
        <v>101</v>
      </c>
      <c r="K50" s="1" t="s">
        <v>116</v>
      </c>
      <c r="L50" s="1">
        <v>3065063</v>
      </c>
      <c r="M50" s="1" t="s">
        <v>189</v>
      </c>
      <c r="N50" s="8">
        <f>DATE(2024,2,5)</f>
        <v>45327</v>
      </c>
      <c r="O50" s="8">
        <f>DATE(2026,12,22)</f>
        <v>46378</v>
      </c>
      <c r="P50" s="1">
        <v>3298</v>
      </c>
      <c r="Q50" s="1">
        <v>800</v>
      </c>
      <c r="R50" s="1">
        <f t="shared" si="0"/>
        <v>3000</v>
      </c>
      <c r="S50" s="1">
        <v>1.5</v>
      </c>
      <c r="U50" s="1">
        <f t="shared" si="1"/>
        <v>1052</v>
      </c>
      <c r="V50" s="7">
        <f t="shared" si="2"/>
        <v>2.8517110266159698</v>
      </c>
      <c r="W50" s="7">
        <f t="shared" si="3"/>
        <v>1040.874524714829</v>
      </c>
      <c r="X50" s="7">
        <f t="shared" si="4"/>
        <v>1.3010931558935364</v>
      </c>
      <c r="AA50" s="8">
        <f t="shared" si="5"/>
        <v>44927</v>
      </c>
      <c r="AB50" s="8">
        <f t="shared" si="6"/>
        <v>45291</v>
      </c>
      <c r="AC50" s="1">
        <v>0</v>
      </c>
      <c r="AD50" s="1">
        <f t="shared" si="7"/>
        <v>0</v>
      </c>
      <c r="AE50" s="1">
        <f t="shared" si="8"/>
        <v>0</v>
      </c>
      <c r="AF50" s="1">
        <f t="shared" si="9"/>
        <v>0</v>
      </c>
      <c r="AG50" s="1">
        <f t="shared" si="10"/>
        <v>0</v>
      </c>
      <c r="AH50" s="1">
        <f t="shared" si="11"/>
        <v>0</v>
      </c>
      <c r="AI50" s="5">
        <f t="shared" si="12"/>
        <v>0</v>
      </c>
      <c r="AJ50" s="5">
        <f t="shared" si="13"/>
        <v>0</v>
      </c>
      <c r="AK50" s="5">
        <f t="shared" si="14"/>
        <v>0</v>
      </c>
      <c r="AL50" s="5">
        <f t="shared" si="15"/>
        <v>0</v>
      </c>
      <c r="AM50" s="5">
        <f t="shared" si="16"/>
        <v>0</v>
      </c>
      <c r="AN50" s="5">
        <f t="shared" si="17"/>
        <v>0</v>
      </c>
      <c r="AO50" s="1" t="s">
        <v>102</v>
      </c>
    </row>
    <row r="51" spans="1:41" x14ac:dyDescent="0.25">
      <c r="A51" s="1" t="s">
        <v>19</v>
      </c>
      <c r="B51" s="1" t="s">
        <v>20</v>
      </c>
      <c r="C51" s="1" t="s">
        <v>21</v>
      </c>
      <c r="D51" s="1" t="s">
        <v>22</v>
      </c>
      <c r="E51" s="1" t="s">
        <v>96</v>
      </c>
      <c r="F51" s="1" t="s">
        <v>103</v>
      </c>
      <c r="G51" s="1" t="s">
        <v>114</v>
      </c>
      <c r="H51" s="1" t="s">
        <v>119</v>
      </c>
      <c r="I51" s="1" t="s">
        <v>105</v>
      </c>
      <c r="J51" s="1" t="s">
        <v>106</v>
      </c>
      <c r="K51" s="1" t="s">
        <v>116</v>
      </c>
      <c r="L51" s="1">
        <v>3065064</v>
      </c>
      <c r="M51" s="1" t="s">
        <v>190</v>
      </c>
      <c r="N51" s="8">
        <f>DATE(2024,2,5)</f>
        <v>45327</v>
      </c>
      <c r="O51" s="8">
        <f>DATE(2026,12,22)</f>
        <v>46378</v>
      </c>
      <c r="P51" s="1">
        <v>3026</v>
      </c>
      <c r="Q51" s="1">
        <v>1200</v>
      </c>
      <c r="R51" s="1">
        <f t="shared" si="0"/>
        <v>3200</v>
      </c>
      <c r="S51" s="1">
        <v>2.5</v>
      </c>
      <c r="U51" s="1">
        <f t="shared" si="1"/>
        <v>1052</v>
      </c>
      <c r="V51" s="7">
        <f t="shared" si="2"/>
        <v>2.876425855513308</v>
      </c>
      <c r="W51" s="7">
        <f t="shared" si="3"/>
        <v>1049.8954372623575</v>
      </c>
      <c r="X51" s="7">
        <f t="shared" si="4"/>
        <v>1.312369296577947</v>
      </c>
      <c r="AA51" s="8">
        <f t="shared" si="5"/>
        <v>44927</v>
      </c>
      <c r="AB51" s="8">
        <f t="shared" si="6"/>
        <v>45291</v>
      </c>
      <c r="AC51" s="1">
        <v>0</v>
      </c>
      <c r="AD51" s="1">
        <f t="shared" si="7"/>
        <v>0</v>
      </c>
      <c r="AE51" s="1">
        <f t="shared" si="8"/>
        <v>0</v>
      </c>
      <c r="AF51" s="1">
        <f t="shared" si="9"/>
        <v>0</v>
      </c>
      <c r="AG51" s="1">
        <f t="shared" si="10"/>
        <v>0</v>
      </c>
      <c r="AH51" s="1">
        <f t="shared" si="11"/>
        <v>0</v>
      </c>
      <c r="AI51" s="5">
        <f t="shared" si="12"/>
        <v>0</v>
      </c>
      <c r="AJ51" s="5">
        <f t="shared" si="13"/>
        <v>0</v>
      </c>
      <c r="AK51" s="5">
        <f t="shared" si="14"/>
        <v>0</v>
      </c>
      <c r="AL51" s="5">
        <f t="shared" si="15"/>
        <v>0</v>
      </c>
      <c r="AM51" s="5">
        <f t="shared" si="16"/>
        <v>0</v>
      </c>
      <c r="AN51" s="5">
        <f t="shared" si="17"/>
        <v>0</v>
      </c>
      <c r="AO51" s="1" t="s">
        <v>102</v>
      </c>
    </row>
    <row r="52" spans="1:41" x14ac:dyDescent="0.25">
      <c r="A52" s="1" t="s">
        <v>19</v>
      </c>
      <c r="B52" s="1" t="s">
        <v>20</v>
      </c>
      <c r="C52" s="1" t="s">
        <v>21</v>
      </c>
      <c r="D52" s="1" t="s">
        <v>22</v>
      </c>
      <c r="E52" s="1" t="s">
        <v>96</v>
      </c>
      <c r="F52" s="1" t="s">
        <v>103</v>
      </c>
      <c r="G52" s="1" t="s">
        <v>98</v>
      </c>
      <c r="H52" s="1" t="s">
        <v>99</v>
      </c>
      <c r="I52" s="1" t="s">
        <v>100</v>
      </c>
      <c r="J52" s="1" t="s">
        <v>101</v>
      </c>
      <c r="L52" s="1">
        <v>3065065</v>
      </c>
      <c r="M52" s="1" t="s">
        <v>191</v>
      </c>
      <c r="N52" s="8">
        <f>DATE(2024,2,19)</f>
        <v>45341</v>
      </c>
      <c r="O52" s="8">
        <f>DATE(2027,12,22)</f>
        <v>46743</v>
      </c>
      <c r="P52" s="1">
        <v>3120</v>
      </c>
      <c r="Q52" s="1">
        <v>3000</v>
      </c>
      <c r="R52" s="1">
        <f t="shared" si="0"/>
        <v>3000</v>
      </c>
      <c r="S52" s="1">
        <v>1</v>
      </c>
      <c r="U52" s="1">
        <f t="shared" si="1"/>
        <v>1403</v>
      </c>
      <c r="V52" s="7">
        <f t="shared" si="2"/>
        <v>2.1382751247327154</v>
      </c>
      <c r="W52" s="7">
        <f t="shared" si="3"/>
        <v>780.47042052744109</v>
      </c>
      <c r="X52" s="7">
        <f t="shared" si="4"/>
        <v>0.97558802565930136</v>
      </c>
      <c r="AA52" s="8">
        <f t="shared" si="5"/>
        <v>44927</v>
      </c>
      <c r="AB52" s="8">
        <f t="shared" si="6"/>
        <v>45291</v>
      </c>
      <c r="AC52" s="1">
        <v>0</v>
      </c>
      <c r="AD52" s="1">
        <f t="shared" si="7"/>
        <v>0</v>
      </c>
      <c r="AE52" s="1">
        <f t="shared" si="8"/>
        <v>0</v>
      </c>
      <c r="AF52" s="1">
        <f t="shared" si="9"/>
        <v>0</v>
      </c>
      <c r="AG52" s="1">
        <f t="shared" si="10"/>
        <v>0</v>
      </c>
      <c r="AH52" s="1">
        <f t="shared" si="11"/>
        <v>0</v>
      </c>
      <c r="AI52" s="5">
        <f t="shared" si="12"/>
        <v>0</v>
      </c>
      <c r="AJ52" s="5">
        <f t="shared" si="13"/>
        <v>0</v>
      </c>
      <c r="AK52" s="5">
        <f t="shared" si="14"/>
        <v>0</v>
      </c>
      <c r="AL52" s="5">
        <f t="shared" si="15"/>
        <v>0</v>
      </c>
      <c r="AM52" s="5">
        <f t="shared" si="16"/>
        <v>0</v>
      </c>
      <c r="AN52" s="5">
        <f t="shared" si="17"/>
        <v>0</v>
      </c>
      <c r="AO52" s="1" t="s">
        <v>102</v>
      </c>
    </row>
    <row r="53" spans="1:41" x14ac:dyDescent="0.25">
      <c r="A53" s="1" t="s">
        <v>19</v>
      </c>
      <c r="B53" s="1" t="s">
        <v>20</v>
      </c>
      <c r="C53" s="1" t="s">
        <v>21</v>
      </c>
      <c r="D53" s="1" t="s">
        <v>22</v>
      </c>
      <c r="E53" s="1" t="s">
        <v>96</v>
      </c>
      <c r="F53" s="1" t="s">
        <v>103</v>
      </c>
      <c r="G53" s="1" t="s">
        <v>98</v>
      </c>
      <c r="H53" s="1" t="s">
        <v>104</v>
      </c>
      <c r="I53" s="1" t="s">
        <v>105</v>
      </c>
      <c r="J53" s="1" t="s">
        <v>106</v>
      </c>
      <c r="L53" s="1">
        <v>3065066</v>
      </c>
      <c r="M53" s="1" t="s">
        <v>192</v>
      </c>
      <c r="N53" s="8">
        <f>DATE(2024,2,19)</f>
        <v>45341</v>
      </c>
      <c r="O53" s="8">
        <f>DATE(2028,12,22)</f>
        <v>47109</v>
      </c>
      <c r="P53" s="1">
        <v>4208</v>
      </c>
      <c r="Q53" s="1">
        <v>3600</v>
      </c>
      <c r="R53" s="1">
        <f t="shared" si="0"/>
        <v>3600</v>
      </c>
      <c r="S53" s="1">
        <v>2.5</v>
      </c>
      <c r="U53" s="1">
        <f t="shared" si="1"/>
        <v>1769</v>
      </c>
      <c r="V53" s="7">
        <f t="shared" si="2"/>
        <v>2.0350480497456189</v>
      </c>
      <c r="W53" s="7">
        <f t="shared" si="3"/>
        <v>742.79253815715094</v>
      </c>
      <c r="X53" s="7">
        <f t="shared" si="4"/>
        <v>0.9284906726964387</v>
      </c>
      <c r="AA53" s="8">
        <f t="shared" si="5"/>
        <v>44927</v>
      </c>
      <c r="AB53" s="8">
        <f t="shared" si="6"/>
        <v>45291</v>
      </c>
      <c r="AC53" s="1">
        <v>0</v>
      </c>
      <c r="AD53" s="1">
        <f t="shared" si="7"/>
        <v>0</v>
      </c>
      <c r="AE53" s="1">
        <f t="shared" si="8"/>
        <v>0</v>
      </c>
      <c r="AF53" s="1">
        <f t="shared" si="9"/>
        <v>0</v>
      </c>
      <c r="AG53" s="1">
        <f t="shared" si="10"/>
        <v>0</v>
      </c>
      <c r="AH53" s="1">
        <f t="shared" si="11"/>
        <v>0</v>
      </c>
      <c r="AI53" s="5">
        <f t="shared" si="12"/>
        <v>0</v>
      </c>
      <c r="AJ53" s="5">
        <f t="shared" si="13"/>
        <v>0</v>
      </c>
      <c r="AK53" s="5">
        <f t="shared" si="14"/>
        <v>0</v>
      </c>
      <c r="AL53" s="5">
        <f t="shared" si="15"/>
        <v>0</v>
      </c>
      <c r="AM53" s="5">
        <f t="shared" si="16"/>
        <v>0</v>
      </c>
      <c r="AN53" s="5">
        <f t="shared" si="17"/>
        <v>0</v>
      </c>
      <c r="AO53" s="1" t="s">
        <v>102</v>
      </c>
    </row>
    <row r="54" spans="1:41" x14ac:dyDescent="0.25">
      <c r="A54" s="1" t="s">
        <v>19</v>
      </c>
      <c r="B54" s="1" t="s">
        <v>23</v>
      </c>
      <c r="C54" s="1" t="s">
        <v>21</v>
      </c>
      <c r="D54" s="1" t="s">
        <v>24</v>
      </c>
      <c r="E54" s="1" t="s">
        <v>96</v>
      </c>
      <c r="F54" s="1" t="s">
        <v>103</v>
      </c>
      <c r="G54" s="1" t="s">
        <v>98</v>
      </c>
      <c r="H54" s="1" t="s">
        <v>193</v>
      </c>
      <c r="I54" s="1" t="s">
        <v>194</v>
      </c>
      <c r="J54" s="1" t="s">
        <v>101</v>
      </c>
      <c r="L54" s="1">
        <v>2134621</v>
      </c>
      <c r="M54" s="1" t="s">
        <v>195</v>
      </c>
      <c r="N54" s="8">
        <f>DATE(2017,2,6)</f>
        <v>42772</v>
      </c>
      <c r="O54" s="8">
        <f>DATE(2020,12,23)</f>
        <v>44188</v>
      </c>
      <c r="P54" s="1">
        <v>3466</v>
      </c>
      <c r="Q54" s="1">
        <v>3600</v>
      </c>
      <c r="R54" s="1">
        <f t="shared" si="0"/>
        <v>3600</v>
      </c>
      <c r="S54" s="1">
        <v>2.5</v>
      </c>
      <c r="U54" s="1">
        <f t="shared" si="1"/>
        <v>1417</v>
      </c>
      <c r="V54" s="7">
        <f t="shared" si="2"/>
        <v>2.4460127028934369</v>
      </c>
      <c r="W54" s="7">
        <f t="shared" si="3"/>
        <v>892.79463655610448</v>
      </c>
      <c r="X54" s="7">
        <f t="shared" si="4"/>
        <v>1.1159932956951306</v>
      </c>
      <c r="AA54" s="8">
        <f t="shared" si="5"/>
        <v>44927</v>
      </c>
      <c r="AB54" s="8">
        <f t="shared" si="6"/>
        <v>45291</v>
      </c>
      <c r="AC54" s="1">
        <v>4</v>
      </c>
      <c r="AD54" s="1">
        <f t="shared" si="7"/>
        <v>0</v>
      </c>
      <c r="AE54" s="1">
        <f t="shared" si="8"/>
        <v>0</v>
      </c>
      <c r="AF54" s="1">
        <f t="shared" si="9"/>
        <v>0</v>
      </c>
      <c r="AG54" s="1">
        <f t="shared" si="10"/>
        <v>0</v>
      </c>
      <c r="AH54" s="1">
        <f t="shared" si="11"/>
        <v>182.5</v>
      </c>
      <c r="AI54" s="5">
        <f t="shared" si="12"/>
        <v>0.5</v>
      </c>
      <c r="AJ54" s="5">
        <f t="shared" si="13"/>
        <v>0.55799664784756531</v>
      </c>
      <c r="AK54" s="5">
        <f t="shared" si="14"/>
        <v>1.1159932956951306</v>
      </c>
      <c r="AL54" s="5">
        <f t="shared" si="15"/>
        <v>2.7899832392378263</v>
      </c>
      <c r="AM54" s="5">
        <f t="shared" si="16"/>
        <v>0</v>
      </c>
      <c r="AN54" s="5">
        <f t="shared" si="17"/>
        <v>2.7899832392378263</v>
      </c>
      <c r="AO54" s="1" t="s">
        <v>102</v>
      </c>
    </row>
    <row r="55" spans="1:41" x14ac:dyDescent="0.25">
      <c r="A55" s="1" t="s">
        <v>19</v>
      </c>
      <c r="B55" s="1" t="s">
        <v>23</v>
      </c>
      <c r="C55" s="1" t="s">
        <v>21</v>
      </c>
      <c r="D55" s="1" t="s">
        <v>24</v>
      </c>
      <c r="E55" s="1" t="s">
        <v>96</v>
      </c>
      <c r="F55" s="1" t="s">
        <v>103</v>
      </c>
      <c r="G55" s="1" t="s">
        <v>114</v>
      </c>
      <c r="H55" s="1" t="s">
        <v>196</v>
      </c>
      <c r="I55" s="1" t="s">
        <v>157</v>
      </c>
      <c r="J55" s="1" t="s">
        <v>101</v>
      </c>
      <c r="K55" s="1" t="s">
        <v>116</v>
      </c>
      <c r="L55" s="1">
        <v>2134622</v>
      </c>
      <c r="M55" s="1" t="s">
        <v>197</v>
      </c>
      <c r="N55" s="8">
        <f>DATE(2017,2,6)</f>
        <v>42772</v>
      </c>
      <c r="O55" s="8">
        <f>DATE(2019,12,23)</f>
        <v>43822</v>
      </c>
      <c r="P55" s="1">
        <v>3774</v>
      </c>
      <c r="Q55" s="1">
        <v>1200</v>
      </c>
      <c r="R55" s="1">
        <f t="shared" si="0"/>
        <v>3200</v>
      </c>
      <c r="S55" s="1">
        <v>2.5</v>
      </c>
      <c r="U55" s="1">
        <f t="shared" si="1"/>
        <v>1051</v>
      </c>
      <c r="V55" s="7">
        <f t="shared" si="2"/>
        <v>3.044719314938154</v>
      </c>
      <c r="W55" s="7">
        <f t="shared" si="3"/>
        <v>1111.3225499524262</v>
      </c>
      <c r="X55" s="7">
        <f t="shared" si="4"/>
        <v>1.3891531874405327</v>
      </c>
      <c r="AA55" s="8">
        <f t="shared" si="5"/>
        <v>44927</v>
      </c>
      <c r="AB55" s="8">
        <f t="shared" si="6"/>
        <v>45291</v>
      </c>
      <c r="AC55" s="1">
        <v>1</v>
      </c>
      <c r="AD55" s="1">
        <f t="shared" si="7"/>
        <v>0</v>
      </c>
      <c r="AE55" s="1">
        <f t="shared" si="8"/>
        <v>0</v>
      </c>
      <c r="AF55" s="1">
        <f t="shared" si="9"/>
        <v>0</v>
      </c>
      <c r="AG55" s="1">
        <f t="shared" si="10"/>
        <v>0</v>
      </c>
      <c r="AH55" s="1">
        <f t="shared" si="11"/>
        <v>182.5</v>
      </c>
      <c r="AI55" s="5">
        <f t="shared" si="12"/>
        <v>0.5</v>
      </c>
      <c r="AJ55" s="5">
        <f t="shared" si="13"/>
        <v>0.69457659372026637</v>
      </c>
      <c r="AK55" s="5">
        <f t="shared" si="14"/>
        <v>0</v>
      </c>
      <c r="AL55" s="5">
        <f t="shared" si="15"/>
        <v>0</v>
      </c>
      <c r="AM55" s="5">
        <f t="shared" si="16"/>
        <v>0</v>
      </c>
      <c r="AN55" s="5">
        <f t="shared" si="17"/>
        <v>0</v>
      </c>
      <c r="AO55" s="1" t="s">
        <v>102</v>
      </c>
    </row>
    <row r="56" spans="1:41" x14ac:dyDescent="0.25">
      <c r="A56" s="1" t="s">
        <v>19</v>
      </c>
      <c r="B56" s="1" t="s">
        <v>23</v>
      </c>
      <c r="C56" s="1" t="s">
        <v>21</v>
      </c>
      <c r="D56" s="1" t="s">
        <v>24</v>
      </c>
      <c r="E56" s="1" t="s">
        <v>96</v>
      </c>
      <c r="F56" s="1" t="s">
        <v>103</v>
      </c>
      <c r="G56" s="1" t="s">
        <v>98</v>
      </c>
      <c r="H56" s="1" t="s">
        <v>193</v>
      </c>
      <c r="I56" s="1" t="s">
        <v>194</v>
      </c>
      <c r="J56" s="1" t="s">
        <v>101</v>
      </c>
      <c r="L56" s="1">
        <v>2483326</v>
      </c>
      <c r="M56" s="1" t="s">
        <v>198</v>
      </c>
      <c r="N56" s="8">
        <f>DATE(2018,2,19)</f>
        <v>43150</v>
      </c>
      <c r="O56" s="8">
        <f>DATE(2021,12,23)</f>
        <v>44553</v>
      </c>
      <c r="P56" s="1">
        <v>3466</v>
      </c>
      <c r="Q56" s="1">
        <v>3600</v>
      </c>
      <c r="R56" s="1">
        <f t="shared" si="0"/>
        <v>3600</v>
      </c>
      <c r="S56" s="1">
        <v>2.5</v>
      </c>
      <c r="U56" s="1">
        <f t="shared" si="1"/>
        <v>1404</v>
      </c>
      <c r="V56" s="7">
        <f t="shared" si="2"/>
        <v>2.4686609686609686</v>
      </c>
      <c r="W56" s="7">
        <f t="shared" si="3"/>
        <v>901.06125356125358</v>
      </c>
      <c r="X56" s="7">
        <f t="shared" si="4"/>
        <v>1.126326566951567</v>
      </c>
      <c r="AA56" s="8">
        <f t="shared" si="5"/>
        <v>44927</v>
      </c>
      <c r="AB56" s="8">
        <f t="shared" si="6"/>
        <v>45291</v>
      </c>
      <c r="AC56" s="1">
        <v>3</v>
      </c>
      <c r="AD56" s="1">
        <f t="shared" si="7"/>
        <v>0</v>
      </c>
      <c r="AE56" s="1">
        <f t="shared" si="8"/>
        <v>0</v>
      </c>
      <c r="AF56" s="1">
        <f t="shared" si="9"/>
        <v>0</v>
      </c>
      <c r="AG56" s="1">
        <f t="shared" si="10"/>
        <v>0</v>
      </c>
      <c r="AH56" s="1">
        <f t="shared" si="11"/>
        <v>182.5</v>
      </c>
      <c r="AI56" s="5">
        <f t="shared" si="12"/>
        <v>0.5</v>
      </c>
      <c r="AJ56" s="5">
        <f t="shared" si="13"/>
        <v>0.56316328347578348</v>
      </c>
      <c r="AK56" s="5">
        <f t="shared" si="14"/>
        <v>0.84474492521367517</v>
      </c>
      <c r="AL56" s="5">
        <f t="shared" si="15"/>
        <v>2.1118623130341878</v>
      </c>
      <c r="AM56" s="5">
        <f t="shared" si="16"/>
        <v>0</v>
      </c>
      <c r="AN56" s="5">
        <f t="shared" si="17"/>
        <v>2.1118623130341878</v>
      </c>
      <c r="AO56" s="1" t="s">
        <v>102</v>
      </c>
    </row>
    <row r="57" spans="1:41" x14ac:dyDescent="0.25">
      <c r="A57" s="1" t="s">
        <v>19</v>
      </c>
      <c r="B57" s="1" t="s">
        <v>23</v>
      </c>
      <c r="C57" s="1" t="s">
        <v>21</v>
      </c>
      <c r="D57" s="1" t="s">
        <v>24</v>
      </c>
      <c r="E57" s="1" t="s">
        <v>96</v>
      </c>
      <c r="F57" s="1" t="s">
        <v>103</v>
      </c>
      <c r="G57" s="1" t="s">
        <v>114</v>
      </c>
      <c r="H57" s="1" t="s">
        <v>196</v>
      </c>
      <c r="I57" s="1" t="s">
        <v>157</v>
      </c>
      <c r="J57" s="1" t="s">
        <v>101</v>
      </c>
      <c r="K57" s="1" t="s">
        <v>116</v>
      </c>
      <c r="L57" s="1">
        <v>2580606</v>
      </c>
      <c r="M57" s="1" t="s">
        <v>199</v>
      </c>
      <c r="N57" s="8">
        <f>DATE(2019,2,4)</f>
        <v>43500</v>
      </c>
      <c r="O57" s="8">
        <f>DATE(2021,12,24)</f>
        <v>44554</v>
      </c>
      <c r="P57" s="1">
        <v>3026</v>
      </c>
      <c r="Q57" s="1">
        <v>1200</v>
      </c>
      <c r="R57" s="1">
        <f t="shared" si="0"/>
        <v>3200</v>
      </c>
      <c r="S57" s="1">
        <v>2.5</v>
      </c>
      <c r="U57" s="1">
        <f t="shared" si="1"/>
        <v>1055</v>
      </c>
      <c r="V57" s="7">
        <f t="shared" si="2"/>
        <v>2.8682464454976304</v>
      </c>
      <c r="W57" s="7">
        <f t="shared" si="3"/>
        <v>1046.909952606635</v>
      </c>
      <c r="X57" s="7">
        <f t="shared" si="4"/>
        <v>1.3086374407582937</v>
      </c>
      <c r="AA57" s="8">
        <f t="shared" si="5"/>
        <v>44927</v>
      </c>
      <c r="AB57" s="8">
        <f t="shared" si="6"/>
        <v>45291</v>
      </c>
      <c r="AC57" s="1">
        <v>1</v>
      </c>
      <c r="AD57" s="1">
        <f t="shared" si="7"/>
        <v>0</v>
      </c>
      <c r="AE57" s="1">
        <f t="shared" si="8"/>
        <v>0</v>
      </c>
      <c r="AF57" s="1">
        <f t="shared" si="9"/>
        <v>0</v>
      </c>
      <c r="AG57" s="1">
        <f t="shared" si="10"/>
        <v>0</v>
      </c>
      <c r="AH57" s="1">
        <f t="shared" si="11"/>
        <v>182.5</v>
      </c>
      <c r="AI57" s="5">
        <f t="shared" si="12"/>
        <v>0.5</v>
      </c>
      <c r="AJ57" s="5">
        <f t="shared" si="13"/>
        <v>0.65431872037914685</v>
      </c>
      <c r="AK57" s="5">
        <f t="shared" si="14"/>
        <v>0.32715936018957342</v>
      </c>
      <c r="AL57" s="5">
        <f t="shared" si="15"/>
        <v>0.81789840047393358</v>
      </c>
      <c r="AM57" s="5">
        <f t="shared" si="16"/>
        <v>0</v>
      </c>
      <c r="AN57" s="5">
        <f t="shared" si="17"/>
        <v>0.81789840047393358</v>
      </c>
      <c r="AO57" s="1" t="s">
        <v>102</v>
      </c>
    </row>
    <row r="58" spans="1:41" x14ac:dyDescent="0.25">
      <c r="A58" s="1" t="s">
        <v>19</v>
      </c>
      <c r="B58" s="1" t="s">
        <v>23</v>
      </c>
      <c r="C58" s="1" t="s">
        <v>21</v>
      </c>
      <c r="D58" s="1" t="s">
        <v>24</v>
      </c>
      <c r="E58" s="1" t="s">
        <v>96</v>
      </c>
      <c r="F58" s="1" t="s">
        <v>103</v>
      </c>
      <c r="G58" s="1" t="s">
        <v>98</v>
      </c>
      <c r="H58" s="1" t="s">
        <v>193</v>
      </c>
      <c r="I58" s="1" t="s">
        <v>194</v>
      </c>
      <c r="J58" s="1" t="s">
        <v>101</v>
      </c>
      <c r="L58" s="1">
        <v>2580607</v>
      </c>
      <c r="M58" s="1" t="s">
        <v>200</v>
      </c>
      <c r="N58" s="8">
        <f>DATE(2019,2,4)</f>
        <v>43500</v>
      </c>
      <c r="O58" s="8">
        <f>DATE(2022,12,23)</f>
        <v>44918</v>
      </c>
      <c r="P58" s="1">
        <v>3466</v>
      </c>
      <c r="Q58" s="1">
        <v>3600</v>
      </c>
      <c r="R58" s="1">
        <f t="shared" si="0"/>
        <v>3600</v>
      </c>
      <c r="S58" s="1">
        <v>2.5</v>
      </c>
      <c r="U58" s="1">
        <f t="shared" si="1"/>
        <v>1419</v>
      </c>
      <c r="V58" s="7">
        <f t="shared" si="2"/>
        <v>2.4425651867512332</v>
      </c>
      <c r="W58" s="7">
        <f t="shared" si="3"/>
        <v>891.53629316420017</v>
      </c>
      <c r="X58" s="7">
        <f t="shared" si="4"/>
        <v>1.1144203664552501</v>
      </c>
      <c r="AA58" s="8">
        <f t="shared" si="5"/>
        <v>44927</v>
      </c>
      <c r="AB58" s="8">
        <f t="shared" si="6"/>
        <v>45291</v>
      </c>
      <c r="AC58" s="1">
        <v>20</v>
      </c>
      <c r="AD58" s="1">
        <f t="shared" si="7"/>
        <v>0</v>
      </c>
      <c r="AE58" s="1">
        <f t="shared" si="8"/>
        <v>0</v>
      </c>
      <c r="AF58" s="1">
        <f t="shared" si="9"/>
        <v>0</v>
      </c>
      <c r="AG58" s="1">
        <f t="shared" si="10"/>
        <v>0</v>
      </c>
      <c r="AH58" s="1">
        <f t="shared" si="11"/>
        <v>182.5</v>
      </c>
      <c r="AI58" s="5">
        <f t="shared" si="12"/>
        <v>0.5</v>
      </c>
      <c r="AJ58" s="5">
        <f t="shared" si="13"/>
        <v>0.55721018322762506</v>
      </c>
      <c r="AK58" s="5">
        <f t="shared" si="14"/>
        <v>5.5721018322762506</v>
      </c>
      <c r="AL58" s="5">
        <f t="shared" si="15"/>
        <v>13.930254580690626</v>
      </c>
      <c r="AM58" s="5">
        <f t="shared" si="16"/>
        <v>0</v>
      </c>
      <c r="AN58" s="5">
        <f t="shared" si="17"/>
        <v>13.930254580690626</v>
      </c>
      <c r="AO58" s="1" t="s">
        <v>102</v>
      </c>
    </row>
    <row r="59" spans="1:41" x14ac:dyDescent="0.25">
      <c r="A59" s="1" t="s">
        <v>19</v>
      </c>
      <c r="B59" s="1" t="s">
        <v>23</v>
      </c>
      <c r="C59" s="1" t="s">
        <v>21</v>
      </c>
      <c r="D59" s="1" t="s">
        <v>24</v>
      </c>
      <c r="E59" s="1" t="s">
        <v>96</v>
      </c>
      <c r="F59" s="1" t="s">
        <v>103</v>
      </c>
      <c r="G59" s="1" t="s">
        <v>114</v>
      </c>
      <c r="H59" s="1" t="s">
        <v>196</v>
      </c>
      <c r="I59" s="1" t="s">
        <v>157</v>
      </c>
      <c r="J59" s="1" t="s">
        <v>101</v>
      </c>
      <c r="K59" s="1" t="s">
        <v>116</v>
      </c>
      <c r="L59" s="1">
        <v>2681541</v>
      </c>
      <c r="M59" s="1" t="s">
        <v>201</v>
      </c>
      <c r="N59" s="8">
        <f>DATE(2020,2,3)</f>
        <v>43864</v>
      </c>
      <c r="O59" s="8">
        <f>DATE(2022,12,23)</f>
        <v>44918</v>
      </c>
      <c r="P59" s="1">
        <v>3230</v>
      </c>
      <c r="Q59" s="1">
        <v>1200</v>
      </c>
      <c r="R59" s="1">
        <f t="shared" si="0"/>
        <v>3200</v>
      </c>
      <c r="S59" s="1">
        <v>2.5</v>
      </c>
      <c r="U59" s="1">
        <f t="shared" si="1"/>
        <v>1055</v>
      </c>
      <c r="V59" s="7">
        <f t="shared" si="2"/>
        <v>3.0331753554502368</v>
      </c>
      <c r="W59" s="7">
        <f t="shared" si="3"/>
        <v>1107.1090047393363</v>
      </c>
      <c r="X59" s="7">
        <f t="shared" si="4"/>
        <v>1.3838862559241705</v>
      </c>
      <c r="AA59" s="8">
        <f t="shared" si="5"/>
        <v>44927</v>
      </c>
      <c r="AB59" s="8">
        <f t="shared" si="6"/>
        <v>45291</v>
      </c>
      <c r="AC59" s="1">
        <v>9</v>
      </c>
      <c r="AD59" s="1">
        <f t="shared" si="7"/>
        <v>0</v>
      </c>
      <c r="AE59" s="1">
        <f t="shared" si="8"/>
        <v>0</v>
      </c>
      <c r="AF59" s="1">
        <f t="shared" si="9"/>
        <v>0</v>
      </c>
      <c r="AG59" s="1">
        <f t="shared" si="10"/>
        <v>0</v>
      </c>
      <c r="AH59" s="1">
        <f t="shared" si="11"/>
        <v>182.5</v>
      </c>
      <c r="AI59" s="5">
        <f t="shared" si="12"/>
        <v>0.5</v>
      </c>
      <c r="AJ59" s="5">
        <f t="shared" si="13"/>
        <v>0.69194312796208524</v>
      </c>
      <c r="AK59" s="5">
        <f t="shared" si="14"/>
        <v>3.1137440758293837</v>
      </c>
      <c r="AL59" s="5">
        <f t="shared" si="15"/>
        <v>7.7843601895734595</v>
      </c>
      <c r="AM59" s="5">
        <f t="shared" si="16"/>
        <v>0</v>
      </c>
      <c r="AN59" s="5">
        <f t="shared" si="17"/>
        <v>7.7843601895734595</v>
      </c>
      <c r="AO59" s="1" t="s">
        <v>102</v>
      </c>
    </row>
    <row r="60" spans="1:41" x14ac:dyDescent="0.25">
      <c r="A60" s="1" t="s">
        <v>19</v>
      </c>
      <c r="B60" s="1" t="s">
        <v>23</v>
      </c>
      <c r="C60" s="1" t="s">
        <v>21</v>
      </c>
      <c r="D60" s="1" t="s">
        <v>24</v>
      </c>
      <c r="E60" s="1" t="s">
        <v>96</v>
      </c>
      <c r="F60" s="1" t="s">
        <v>103</v>
      </c>
      <c r="G60" s="1" t="s">
        <v>98</v>
      </c>
      <c r="H60" s="1" t="s">
        <v>193</v>
      </c>
      <c r="I60" s="1" t="s">
        <v>194</v>
      </c>
      <c r="J60" s="1" t="s">
        <v>101</v>
      </c>
      <c r="L60" s="1">
        <v>2681588</v>
      </c>
      <c r="M60" s="1" t="s">
        <v>202</v>
      </c>
      <c r="N60" s="8">
        <f>DATE(2020,2,3)</f>
        <v>43864</v>
      </c>
      <c r="O60" s="8">
        <f>DATE(2023,12,22)</f>
        <v>45282</v>
      </c>
      <c r="P60" s="1">
        <v>3466</v>
      </c>
      <c r="Q60" s="1">
        <v>3600</v>
      </c>
      <c r="R60" s="1">
        <f t="shared" si="0"/>
        <v>3600</v>
      </c>
      <c r="S60" s="1">
        <v>2.5</v>
      </c>
      <c r="U60" s="1">
        <f t="shared" si="1"/>
        <v>1419</v>
      </c>
      <c r="V60" s="7">
        <f t="shared" si="2"/>
        <v>2.4425651867512332</v>
      </c>
      <c r="W60" s="7">
        <f t="shared" si="3"/>
        <v>891.53629316420017</v>
      </c>
      <c r="X60" s="7">
        <f t="shared" si="4"/>
        <v>1.1144203664552501</v>
      </c>
      <c r="AA60" s="8">
        <f t="shared" si="5"/>
        <v>44927</v>
      </c>
      <c r="AB60" s="8">
        <f t="shared" si="6"/>
        <v>45291</v>
      </c>
      <c r="AC60" s="1">
        <v>27</v>
      </c>
      <c r="AD60" s="1">
        <f t="shared" si="7"/>
        <v>0</v>
      </c>
      <c r="AE60" s="1">
        <f t="shared" si="8"/>
        <v>0</v>
      </c>
      <c r="AF60" s="1">
        <f t="shared" si="9"/>
        <v>356</v>
      </c>
      <c r="AG60" s="1">
        <f t="shared" si="10"/>
        <v>0</v>
      </c>
      <c r="AH60" s="1">
        <f t="shared" si="11"/>
        <v>0</v>
      </c>
      <c r="AI60" s="5">
        <f t="shared" si="12"/>
        <v>0.97534246575342465</v>
      </c>
      <c r="AJ60" s="5">
        <f t="shared" si="13"/>
        <v>1.0869415081042988</v>
      </c>
      <c r="AK60" s="5">
        <f t="shared" si="14"/>
        <v>29.347420718816068</v>
      </c>
      <c r="AL60" s="5">
        <f t="shared" si="15"/>
        <v>73.368551797040169</v>
      </c>
      <c r="AM60" s="5">
        <f t="shared" si="16"/>
        <v>0</v>
      </c>
      <c r="AN60" s="5">
        <f t="shared" si="17"/>
        <v>73.368551797040169</v>
      </c>
      <c r="AO60" s="1" t="s">
        <v>102</v>
      </c>
    </row>
    <row r="61" spans="1:41" x14ac:dyDescent="0.25">
      <c r="A61" s="1" t="s">
        <v>19</v>
      </c>
      <c r="B61" s="1" t="s">
        <v>23</v>
      </c>
      <c r="C61" s="1" t="s">
        <v>21</v>
      </c>
      <c r="D61" s="1" t="s">
        <v>24</v>
      </c>
      <c r="E61" s="1" t="s">
        <v>96</v>
      </c>
      <c r="F61" s="1" t="s">
        <v>103</v>
      </c>
      <c r="G61" s="1" t="s">
        <v>114</v>
      </c>
      <c r="H61" s="1" t="s">
        <v>196</v>
      </c>
      <c r="I61" s="1" t="s">
        <v>157</v>
      </c>
      <c r="J61" s="1" t="s">
        <v>101</v>
      </c>
      <c r="K61" s="1" t="s">
        <v>116</v>
      </c>
      <c r="L61" s="1">
        <v>2759229</v>
      </c>
      <c r="M61" s="1" t="s">
        <v>203</v>
      </c>
      <c r="N61" s="8">
        <f>DATE(2021,3,22)</f>
        <v>44277</v>
      </c>
      <c r="O61" s="8">
        <f>DATE(2023,12,22)</f>
        <v>45282</v>
      </c>
      <c r="P61" s="1">
        <v>3230</v>
      </c>
      <c r="Q61" s="1">
        <v>1200</v>
      </c>
      <c r="R61" s="1">
        <f t="shared" si="0"/>
        <v>3200</v>
      </c>
      <c r="S61" s="1">
        <v>2.5</v>
      </c>
      <c r="U61" s="1">
        <f t="shared" si="1"/>
        <v>1006</v>
      </c>
      <c r="V61" s="7">
        <f t="shared" si="2"/>
        <v>3.1809145129224654</v>
      </c>
      <c r="W61" s="7">
        <f t="shared" si="3"/>
        <v>1161.0337972166999</v>
      </c>
      <c r="X61" s="7">
        <f t="shared" si="4"/>
        <v>1.4512922465208749</v>
      </c>
      <c r="AA61" s="8">
        <f t="shared" si="5"/>
        <v>44927</v>
      </c>
      <c r="AB61" s="8">
        <f t="shared" si="6"/>
        <v>45291</v>
      </c>
      <c r="AC61" s="1">
        <v>49</v>
      </c>
      <c r="AD61" s="1">
        <f t="shared" si="7"/>
        <v>0</v>
      </c>
      <c r="AE61" s="1">
        <f t="shared" si="8"/>
        <v>0</v>
      </c>
      <c r="AF61" s="1">
        <f t="shared" si="9"/>
        <v>356</v>
      </c>
      <c r="AG61" s="1">
        <f t="shared" si="10"/>
        <v>0</v>
      </c>
      <c r="AH61" s="1">
        <f t="shared" si="11"/>
        <v>0</v>
      </c>
      <c r="AI61" s="5">
        <f t="shared" si="12"/>
        <v>0.97534246575342465</v>
      </c>
      <c r="AJ61" s="5">
        <f t="shared" si="13"/>
        <v>1.4155069582504971</v>
      </c>
      <c r="AK61" s="5">
        <f t="shared" si="14"/>
        <v>69.359840954274361</v>
      </c>
      <c r="AL61" s="5">
        <f t="shared" si="15"/>
        <v>173.39960238568591</v>
      </c>
      <c r="AM61" s="5">
        <f t="shared" si="16"/>
        <v>0</v>
      </c>
      <c r="AN61" s="5">
        <f t="shared" si="17"/>
        <v>173.39960238568591</v>
      </c>
      <c r="AO61" s="1" t="s">
        <v>102</v>
      </c>
    </row>
    <row r="62" spans="1:41" x14ac:dyDescent="0.25">
      <c r="A62" s="1" t="s">
        <v>19</v>
      </c>
      <c r="B62" s="1" t="s">
        <v>23</v>
      </c>
      <c r="C62" s="1" t="s">
        <v>21</v>
      </c>
      <c r="D62" s="1" t="s">
        <v>24</v>
      </c>
      <c r="E62" s="1" t="s">
        <v>96</v>
      </c>
      <c r="F62" s="1" t="s">
        <v>103</v>
      </c>
      <c r="G62" s="1" t="s">
        <v>98</v>
      </c>
      <c r="H62" s="1" t="s">
        <v>193</v>
      </c>
      <c r="I62" s="1" t="s">
        <v>194</v>
      </c>
      <c r="J62" s="1" t="s">
        <v>101</v>
      </c>
      <c r="L62" s="1">
        <v>2759230</v>
      </c>
      <c r="M62" s="1" t="s">
        <v>204</v>
      </c>
      <c r="N62" s="8">
        <f>DATE(2021,3,22)</f>
        <v>44277</v>
      </c>
      <c r="O62" s="8">
        <f>DATE(2024,12,20)</f>
        <v>45646</v>
      </c>
      <c r="P62" s="1">
        <v>3466</v>
      </c>
      <c r="Q62" s="1">
        <v>3600</v>
      </c>
      <c r="R62" s="1">
        <f t="shared" si="0"/>
        <v>3600</v>
      </c>
      <c r="S62" s="1">
        <v>2.5</v>
      </c>
      <c r="U62" s="1">
        <f t="shared" si="1"/>
        <v>1370</v>
      </c>
      <c r="V62" s="7">
        <f t="shared" si="2"/>
        <v>2.5299270072992699</v>
      </c>
      <c r="W62" s="7">
        <f t="shared" si="3"/>
        <v>923.42335766423355</v>
      </c>
      <c r="X62" s="7">
        <f t="shared" si="4"/>
        <v>1.1542791970802919</v>
      </c>
      <c r="AA62" s="8">
        <f t="shared" si="5"/>
        <v>44927</v>
      </c>
      <c r="AB62" s="8">
        <f t="shared" si="6"/>
        <v>45291</v>
      </c>
      <c r="AC62" s="1">
        <v>23</v>
      </c>
      <c r="AD62" s="1">
        <f t="shared" si="7"/>
        <v>365</v>
      </c>
      <c r="AE62" s="1">
        <f t="shared" si="8"/>
        <v>0</v>
      </c>
      <c r="AF62" s="1">
        <f t="shared" si="9"/>
        <v>0</v>
      </c>
      <c r="AG62" s="1">
        <f t="shared" si="10"/>
        <v>0</v>
      </c>
      <c r="AH62" s="1">
        <f t="shared" si="11"/>
        <v>0</v>
      </c>
      <c r="AI62" s="5">
        <f t="shared" si="12"/>
        <v>1</v>
      </c>
      <c r="AJ62" s="5">
        <f t="shared" si="13"/>
        <v>1.1542791970802919</v>
      </c>
      <c r="AK62" s="5">
        <f t="shared" si="14"/>
        <v>26.548421532846714</v>
      </c>
      <c r="AL62" s="5">
        <f t="shared" si="15"/>
        <v>66.371053832116786</v>
      </c>
      <c r="AM62" s="5">
        <f t="shared" si="16"/>
        <v>0</v>
      </c>
      <c r="AN62" s="5">
        <f t="shared" si="17"/>
        <v>66.371053832116786</v>
      </c>
      <c r="AO62" s="1" t="s">
        <v>102</v>
      </c>
    </row>
    <row r="63" spans="1:41" x14ac:dyDescent="0.25">
      <c r="A63" s="1" t="s">
        <v>19</v>
      </c>
      <c r="B63" s="1" t="s">
        <v>23</v>
      </c>
      <c r="C63" s="1" t="s">
        <v>21</v>
      </c>
      <c r="D63" s="1" t="s">
        <v>24</v>
      </c>
      <c r="E63" s="1" t="s">
        <v>96</v>
      </c>
      <c r="F63" s="1" t="s">
        <v>103</v>
      </c>
      <c r="G63" s="1" t="s">
        <v>114</v>
      </c>
      <c r="H63" s="1" t="s">
        <v>196</v>
      </c>
      <c r="I63" s="1" t="s">
        <v>157</v>
      </c>
      <c r="J63" s="1" t="s">
        <v>101</v>
      </c>
      <c r="K63" s="1" t="s">
        <v>116</v>
      </c>
      <c r="L63" s="1">
        <v>2849591</v>
      </c>
      <c r="M63" s="1" t="s">
        <v>205</v>
      </c>
      <c r="N63" s="8">
        <f>DATE(2022,2,21)</f>
        <v>44613</v>
      </c>
      <c r="O63" s="8">
        <f>DATE(2024,12,20)</f>
        <v>45646</v>
      </c>
      <c r="P63" s="1">
        <v>3230</v>
      </c>
      <c r="Q63" s="1">
        <v>1200</v>
      </c>
      <c r="R63" s="1">
        <f t="shared" si="0"/>
        <v>3200</v>
      </c>
      <c r="S63" s="1">
        <v>2.5</v>
      </c>
      <c r="U63" s="1">
        <f t="shared" si="1"/>
        <v>1034</v>
      </c>
      <c r="V63" s="7">
        <f t="shared" si="2"/>
        <v>3.094777562862669</v>
      </c>
      <c r="W63" s="7">
        <f t="shared" si="3"/>
        <v>1129.5938104448742</v>
      </c>
      <c r="X63" s="7">
        <f t="shared" si="4"/>
        <v>1.4119922630560928</v>
      </c>
      <c r="AA63" s="8">
        <f t="shared" si="5"/>
        <v>44927</v>
      </c>
      <c r="AB63" s="8">
        <f t="shared" si="6"/>
        <v>45291</v>
      </c>
      <c r="AC63" s="1">
        <v>49</v>
      </c>
      <c r="AD63" s="1">
        <f t="shared" si="7"/>
        <v>365</v>
      </c>
      <c r="AE63" s="1">
        <f t="shared" si="8"/>
        <v>0</v>
      </c>
      <c r="AF63" s="1">
        <f t="shared" si="9"/>
        <v>0</v>
      </c>
      <c r="AG63" s="1">
        <f t="shared" si="10"/>
        <v>0</v>
      </c>
      <c r="AH63" s="1">
        <f t="shared" si="11"/>
        <v>0</v>
      </c>
      <c r="AI63" s="5">
        <f t="shared" si="12"/>
        <v>1</v>
      </c>
      <c r="AJ63" s="5">
        <f t="shared" si="13"/>
        <v>1.4119922630560928</v>
      </c>
      <c r="AK63" s="5">
        <f t="shared" si="14"/>
        <v>69.187620889748544</v>
      </c>
      <c r="AL63" s="5">
        <f t="shared" si="15"/>
        <v>172.96905222437135</v>
      </c>
      <c r="AM63" s="5">
        <f t="shared" si="16"/>
        <v>0</v>
      </c>
      <c r="AN63" s="5">
        <f t="shared" si="17"/>
        <v>172.96905222437135</v>
      </c>
      <c r="AO63" s="1" t="s">
        <v>102</v>
      </c>
    </row>
    <row r="64" spans="1:41" x14ac:dyDescent="0.25">
      <c r="A64" s="1" t="s">
        <v>19</v>
      </c>
      <c r="B64" s="1" t="s">
        <v>23</v>
      </c>
      <c r="C64" s="1" t="s">
        <v>21</v>
      </c>
      <c r="D64" s="1" t="s">
        <v>24</v>
      </c>
      <c r="E64" s="1" t="s">
        <v>96</v>
      </c>
      <c r="F64" s="1" t="s">
        <v>103</v>
      </c>
      <c r="G64" s="1" t="s">
        <v>98</v>
      </c>
      <c r="H64" s="1" t="s">
        <v>193</v>
      </c>
      <c r="I64" s="1" t="s">
        <v>194</v>
      </c>
      <c r="J64" s="1" t="s">
        <v>101</v>
      </c>
      <c r="L64" s="1">
        <v>2849617</v>
      </c>
      <c r="M64" s="1" t="s">
        <v>206</v>
      </c>
      <c r="N64" s="8">
        <f>DATE(2022,2,21)</f>
        <v>44613</v>
      </c>
      <c r="O64" s="8">
        <f>DATE(2025,12,19)</f>
        <v>46010</v>
      </c>
      <c r="P64" s="1">
        <v>3466</v>
      </c>
      <c r="Q64" s="1">
        <v>3600</v>
      </c>
      <c r="R64" s="1">
        <f t="shared" si="0"/>
        <v>3600</v>
      </c>
      <c r="S64" s="1">
        <v>2.5</v>
      </c>
      <c r="U64" s="1">
        <f t="shared" si="1"/>
        <v>1398</v>
      </c>
      <c r="V64" s="7">
        <f t="shared" si="2"/>
        <v>2.4792560801144492</v>
      </c>
      <c r="W64" s="7">
        <f t="shared" si="3"/>
        <v>904.928469241774</v>
      </c>
      <c r="X64" s="7">
        <f t="shared" si="4"/>
        <v>1.1311605865522174</v>
      </c>
      <c r="AA64" s="8">
        <f t="shared" si="5"/>
        <v>44927</v>
      </c>
      <c r="AB64" s="8">
        <f t="shared" si="6"/>
        <v>45291</v>
      </c>
      <c r="AC64" s="1">
        <v>29</v>
      </c>
      <c r="AD64" s="1">
        <f t="shared" si="7"/>
        <v>365</v>
      </c>
      <c r="AE64" s="1">
        <f t="shared" si="8"/>
        <v>0</v>
      </c>
      <c r="AF64" s="1">
        <f t="shared" si="9"/>
        <v>0</v>
      </c>
      <c r="AG64" s="1">
        <f t="shared" si="10"/>
        <v>0</v>
      </c>
      <c r="AH64" s="1">
        <f t="shared" si="11"/>
        <v>0</v>
      </c>
      <c r="AI64" s="5">
        <f t="shared" si="12"/>
        <v>1</v>
      </c>
      <c r="AJ64" s="5">
        <f t="shared" si="13"/>
        <v>1.1311605865522174</v>
      </c>
      <c r="AK64" s="5">
        <f t="shared" si="14"/>
        <v>32.803657010014305</v>
      </c>
      <c r="AL64" s="5">
        <f t="shared" si="15"/>
        <v>82.00914252503577</v>
      </c>
      <c r="AM64" s="5">
        <f t="shared" si="16"/>
        <v>0</v>
      </c>
      <c r="AN64" s="5">
        <f t="shared" si="17"/>
        <v>82.00914252503577</v>
      </c>
      <c r="AO64" s="1" t="s">
        <v>102</v>
      </c>
    </row>
    <row r="65" spans="1:41" x14ac:dyDescent="0.25">
      <c r="A65" s="1" t="s">
        <v>19</v>
      </c>
      <c r="B65" s="1" t="s">
        <v>23</v>
      </c>
      <c r="C65" s="1" t="s">
        <v>21</v>
      </c>
      <c r="D65" s="1" t="s">
        <v>24</v>
      </c>
      <c r="E65" s="1" t="s">
        <v>96</v>
      </c>
      <c r="F65" s="1" t="s">
        <v>103</v>
      </c>
      <c r="G65" s="1" t="s">
        <v>114</v>
      </c>
      <c r="H65" s="1" t="s">
        <v>196</v>
      </c>
      <c r="I65" s="1" t="s">
        <v>157</v>
      </c>
      <c r="J65" s="1" t="s">
        <v>101</v>
      </c>
      <c r="K65" s="1" t="s">
        <v>116</v>
      </c>
      <c r="L65" s="1">
        <v>2972127</v>
      </c>
      <c r="M65" s="1" t="s">
        <v>207</v>
      </c>
      <c r="N65" s="8">
        <f>DATE(2023,1,30)</f>
        <v>44956</v>
      </c>
      <c r="O65" s="8">
        <f>DATE(2025,12,19)</f>
        <v>46010</v>
      </c>
      <c r="P65" s="1">
        <v>3230</v>
      </c>
      <c r="Q65" s="1">
        <v>1200</v>
      </c>
      <c r="R65" s="1">
        <f t="shared" si="0"/>
        <v>3200</v>
      </c>
      <c r="S65" s="1">
        <v>2.5</v>
      </c>
      <c r="U65" s="1">
        <f t="shared" si="1"/>
        <v>1055</v>
      </c>
      <c r="V65" s="7">
        <f t="shared" si="2"/>
        <v>3.0331753554502368</v>
      </c>
      <c r="W65" s="7">
        <f t="shared" si="3"/>
        <v>1107.1090047393363</v>
      </c>
      <c r="X65" s="7">
        <f t="shared" si="4"/>
        <v>1.3838862559241705</v>
      </c>
      <c r="AA65" s="8">
        <f t="shared" si="5"/>
        <v>44927</v>
      </c>
      <c r="AB65" s="8">
        <f t="shared" si="6"/>
        <v>45291</v>
      </c>
      <c r="AC65" s="1">
        <v>71</v>
      </c>
      <c r="AD65" s="1">
        <f t="shared" si="7"/>
        <v>0</v>
      </c>
      <c r="AE65" s="1">
        <f t="shared" si="8"/>
        <v>336</v>
      </c>
      <c r="AF65" s="1">
        <f t="shared" si="9"/>
        <v>0</v>
      </c>
      <c r="AG65" s="1">
        <f t="shared" si="10"/>
        <v>0</v>
      </c>
      <c r="AH65" s="1">
        <f t="shared" si="11"/>
        <v>0</v>
      </c>
      <c r="AI65" s="5">
        <f t="shared" si="12"/>
        <v>0.92054794520547945</v>
      </c>
      <c r="AJ65" s="5">
        <f t="shared" si="13"/>
        <v>1.2739336492890994</v>
      </c>
      <c r="AK65" s="5">
        <f t="shared" si="14"/>
        <v>90.449289099526055</v>
      </c>
      <c r="AL65" s="5">
        <f t="shared" si="15"/>
        <v>226.12322274881512</v>
      </c>
      <c r="AM65" s="5">
        <f t="shared" si="16"/>
        <v>0</v>
      </c>
      <c r="AN65" s="5">
        <f t="shared" si="17"/>
        <v>226.12322274881512</v>
      </c>
      <c r="AO65" s="1" t="s">
        <v>102</v>
      </c>
    </row>
    <row r="66" spans="1:41" x14ac:dyDescent="0.25">
      <c r="A66" s="1" t="s">
        <v>19</v>
      </c>
      <c r="B66" s="1" t="s">
        <v>23</v>
      </c>
      <c r="C66" s="1" t="s">
        <v>21</v>
      </c>
      <c r="D66" s="1" t="s">
        <v>24</v>
      </c>
      <c r="E66" s="1" t="s">
        <v>96</v>
      </c>
      <c r="F66" s="1" t="s">
        <v>103</v>
      </c>
      <c r="G66" s="1" t="s">
        <v>98</v>
      </c>
      <c r="H66" s="1" t="s">
        <v>193</v>
      </c>
      <c r="I66" s="1" t="s">
        <v>194</v>
      </c>
      <c r="J66" s="1" t="s">
        <v>101</v>
      </c>
      <c r="L66" s="1">
        <v>2972129</v>
      </c>
      <c r="M66" s="1" t="s">
        <v>208</v>
      </c>
      <c r="N66" s="8">
        <f>DATE(2023,1,30)</f>
        <v>44956</v>
      </c>
      <c r="O66" s="8">
        <f>DATE(2026,12,18)</f>
        <v>46374</v>
      </c>
      <c r="P66" s="1">
        <v>3211</v>
      </c>
      <c r="Q66" s="1">
        <v>3600</v>
      </c>
      <c r="R66" s="1">
        <f t="shared" si="0"/>
        <v>3600</v>
      </c>
      <c r="S66" s="1">
        <v>2.5</v>
      </c>
      <c r="U66" s="1">
        <f t="shared" si="1"/>
        <v>1419</v>
      </c>
      <c r="V66" s="7">
        <f t="shared" si="2"/>
        <v>2.262861169837914</v>
      </c>
      <c r="W66" s="7">
        <f t="shared" si="3"/>
        <v>825.94432699083859</v>
      </c>
      <c r="X66" s="7">
        <f t="shared" si="4"/>
        <v>1.0324304087385483</v>
      </c>
      <c r="AA66" s="8">
        <f t="shared" si="5"/>
        <v>44927</v>
      </c>
      <c r="AB66" s="8">
        <f t="shared" si="6"/>
        <v>45291</v>
      </c>
      <c r="AC66" s="1">
        <v>35</v>
      </c>
      <c r="AD66" s="1">
        <f t="shared" si="7"/>
        <v>0</v>
      </c>
      <c r="AE66" s="1">
        <f t="shared" si="8"/>
        <v>336</v>
      </c>
      <c r="AF66" s="1">
        <f t="shared" si="9"/>
        <v>0</v>
      </c>
      <c r="AG66" s="1">
        <f t="shared" si="10"/>
        <v>0</v>
      </c>
      <c r="AH66" s="1">
        <f t="shared" si="11"/>
        <v>0</v>
      </c>
      <c r="AI66" s="5">
        <f t="shared" si="12"/>
        <v>0.92054794520547945</v>
      </c>
      <c r="AJ66" s="5">
        <f t="shared" si="13"/>
        <v>0.95040169133192387</v>
      </c>
      <c r="AK66" s="5">
        <f t="shared" si="14"/>
        <v>33.264059196617339</v>
      </c>
      <c r="AL66" s="5">
        <f t="shared" si="15"/>
        <v>83.16014799154334</v>
      </c>
      <c r="AM66" s="5">
        <f t="shared" si="16"/>
        <v>0</v>
      </c>
      <c r="AN66" s="5">
        <f t="shared" si="17"/>
        <v>83.16014799154334</v>
      </c>
      <c r="AO66" s="1" t="s">
        <v>102</v>
      </c>
    </row>
    <row r="67" spans="1:41" x14ac:dyDescent="0.25">
      <c r="A67" s="1" t="s">
        <v>19</v>
      </c>
      <c r="B67" s="1" t="s">
        <v>25</v>
      </c>
      <c r="C67" s="1" t="s">
        <v>21</v>
      </c>
      <c r="D67" s="1" t="s">
        <v>26</v>
      </c>
      <c r="E67" s="1" t="s">
        <v>96</v>
      </c>
      <c r="F67" s="1" t="s">
        <v>103</v>
      </c>
      <c r="G67" s="1" t="s">
        <v>114</v>
      </c>
      <c r="H67" s="1" t="s">
        <v>209</v>
      </c>
      <c r="I67" s="1" t="s">
        <v>210</v>
      </c>
      <c r="J67" s="1" t="s">
        <v>101</v>
      </c>
      <c r="K67" s="1" t="s">
        <v>116</v>
      </c>
      <c r="L67" s="1">
        <v>2574514</v>
      </c>
      <c r="M67" s="1" t="s">
        <v>211</v>
      </c>
      <c r="N67" s="8">
        <f>DATE(2019,2,4)</f>
        <v>43500</v>
      </c>
      <c r="O67" s="8">
        <f>DATE(2021,12,23)</f>
        <v>44553</v>
      </c>
      <c r="P67" s="1">
        <v>3758</v>
      </c>
      <c r="Q67" s="1">
        <v>1200</v>
      </c>
      <c r="R67" s="1">
        <f t="shared" ref="R67:R130" si="18">IF(OR(G67="QUALIFICACAO PROFISSIONAL (FIC)",G67="DOUTORADO"),P67,
    IF(ISNUMBER(FIND("PROEJA",K67)),2400,
        IF(K67="INTEGRADO",
            IF(Q67=800,3000,
                IF(Q67=1000,3100,
                    IF(Q67=1200,3200,Q67)
                )
            ),
            Q67
        )
    )
)</f>
        <v>3200</v>
      </c>
      <c r="S67" s="1">
        <v>2.5</v>
      </c>
      <c r="U67" s="1">
        <f t="shared" ref="U67:U130" si="19">O67-N67+1</f>
        <v>1054</v>
      </c>
      <c r="V67" s="7">
        <f t="shared" ref="V67:V130" si="20">IF(R67&gt;P67,P67,R67)/U67</f>
        <v>3.0360531309297913</v>
      </c>
      <c r="W67" s="7">
        <f t="shared" ref="W67:W130" si="21">IF(U67&gt;365,V67*365,R67)</f>
        <v>1108.1593927893739</v>
      </c>
      <c r="X67" s="7">
        <f t="shared" ref="X67:X130" si="22">IF(U67&gt;365,W67/800,R67/800)</f>
        <v>1.3851992409867173</v>
      </c>
      <c r="AA67" s="8">
        <f t="shared" ref="AA67:AA130" si="23">DATE(2023,1,1)</f>
        <v>44927</v>
      </c>
      <c r="AB67" s="8">
        <f t="shared" ref="AB67:AB130" si="24">DATE(2023,12,31)</f>
        <v>45291</v>
      </c>
      <c r="AC67" s="1">
        <v>2</v>
      </c>
      <c r="AD67" s="1">
        <f t="shared" ref="AD67:AD130" si="25">IF(AND(N67&lt;AA67,O67&gt;AB67),AB67-AA67+1,0)</f>
        <v>0</v>
      </c>
      <c r="AE67" s="1">
        <f t="shared" ref="AE67:AE130" si="26">IF(AND(N67&gt;=AA67,O67&gt;AB67,N67&lt;AB67),AB67-N67+1,0)</f>
        <v>0</v>
      </c>
      <c r="AF67" s="1">
        <f t="shared" ref="AF67:AF130" si="27">IF(AND(N67&lt;AA67,O67&lt;=AB67,O67&gt;=AA67),O67-AA67+1,0)</f>
        <v>0</v>
      </c>
      <c r="AG67" s="1">
        <f t="shared" ref="AG67:AG130" si="28">IF(AND(N67&gt;=AA67,O67&lt;=AB67),O67-N67+1,0)</f>
        <v>0</v>
      </c>
      <c r="AH67" s="1">
        <f t="shared" ref="AH67:AH130" si="29">IF(AND(N67&lt;AA67,O67&lt;AA67),(AB67-AA67+1)/2,0)</f>
        <v>182.5</v>
      </c>
      <c r="AI67" s="5">
        <f t="shared" ref="AI67:AI130" si="30">SUM(AD67:AH67)/IF(U67&gt;=365,AB67-AA67+1,U67)</f>
        <v>0.5</v>
      </c>
      <c r="AJ67" s="5">
        <f t="shared" ref="AJ67:AJ130" si="31">X67*AI67</f>
        <v>0.69259962049335866</v>
      </c>
      <c r="AK67" s="5">
        <f t="shared" ref="AK67:AK130" si="32">IF(AH67=0,AJ67*AC67,IF(AA67-O67&gt;1095,0,AJ67*(AC67/2)))</f>
        <v>0.69259962049335866</v>
      </c>
      <c r="AL67" s="5">
        <f t="shared" ref="AL67:AL130" si="33">AK67*S67</f>
        <v>1.7314990512333965</v>
      </c>
      <c r="AM67" s="5">
        <f t="shared" ref="AM67:AM130" si="34">IF(J67="SIM",AL67*50%,0)</f>
        <v>0</v>
      </c>
      <c r="AN67" s="5">
        <f t="shared" ref="AN67:AN130" si="35">AL67+AM67</f>
        <v>1.7314990512333965</v>
      </c>
      <c r="AO67" s="1" t="s">
        <v>102</v>
      </c>
    </row>
    <row r="68" spans="1:41" x14ac:dyDescent="0.25">
      <c r="A68" s="1" t="s">
        <v>19</v>
      </c>
      <c r="B68" s="1" t="s">
        <v>25</v>
      </c>
      <c r="C68" s="1" t="s">
        <v>21</v>
      </c>
      <c r="D68" s="1" t="s">
        <v>26</v>
      </c>
      <c r="E68" s="1" t="s">
        <v>96</v>
      </c>
      <c r="F68" s="1" t="s">
        <v>103</v>
      </c>
      <c r="G68" s="1" t="s">
        <v>114</v>
      </c>
      <c r="H68" s="1" t="s">
        <v>212</v>
      </c>
      <c r="I68" s="1" t="s">
        <v>210</v>
      </c>
      <c r="J68" s="1" t="s">
        <v>101</v>
      </c>
      <c r="K68" s="1" t="s">
        <v>116</v>
      </c>
      <c r="L68" s="1">
        <v>2580126</v>
      </c>
      <c r="M68" s="1" t="s">
        <v>213</v>
      </c>
      <c r="N68" s="8">
        <f>DATE(2019,2,4)</f>
        <v>43500</v>
      </c>
      <c r="O68" s="8">
        <f>DATE(2021,12,23)</f>
        <v>44553</v>
      </c>
      <c r="P68" s="1">
        <v>3758</v>
      </c>
      <c r="Q68" s="1">
        <v>1200</v>
      </c>
      <c r="R68" s="1">
        <f t="shared" si="18"/>
        <v>3200</v>
      </c>
      <c r="S68" s="1">
        <v>2.5</v>
      </c>
      <c r="U68" s="1">
        <f t="shared" si="19"/>
        <v>1054</v>
      </c>
      <c r="V68" s="7">
        <f t="shared" si="20"/>
        <v>3.0360531309297913</v>
      </c>
      <c r="W68" s="7">
        <f t="shared" si="21"/>
        <v>1108.1593927893739</v>
      </c>
      <c r="X68" s="7">
        <f t="shared" si="22"/>
        <v>1.3851992409867173</v>
      </c>
      <c r="AA68" s="8">
        <f t="shared" si="23"/>
        <v>44927</v>
      </c>
      <c r="AB68" s="8">
        <f t="shared" si="24"/>
        <v>45291</v>
      </c>
      <c r="AC68" s="1">
        <v>6</v>
      </c>
      <c r="AD68" s="1">
        <f t="shared" si="25"/>
        <v>0</v>
      </c>
      <c r="AE68" s="1">
        <f t="shared" si="26"/>
        <v>0</v>
      </c>
      <c r="AF68" s="1">
        <f t="shared" si="27"/>
        <v>0</v>
      </c>
      <c r="AG68" s="1">
        <f t="shared" si="28"/>
        <v>0</v>
      </c>
      <c r="AH68" s="1">
        <f t="shared" si="29"/>
        <v>182.5</v>
      </c>
      <c r="AI68" s="5">
        <f t="shared" si="30"/>
        <v>0.5</v>
      </c>
      <c r="AJ68" s="5">
        <f t="shared" si="31"/>
        <v>0.69259962049335866</v>
      </c>
      <c r="AK68" s="5">
        <f t="shared" si="32"/>
        <v>2.0777988614800762</v>
      </c>
      <c r="AL68" s="5">
        <f t="shared" si="33"/>
        <v>5.1944971537001905</v>
      </c>
      <c r="AM68" s="5">
        <f t="shared" si="34"/>
        <v>0</v>
      </c>
      <c r="AN68" s="5">
        <f t="shared" si="35"/>
        <v>5.1944971537001905</v>
      </c>
      <c r="AO68" s="1" t="s">
        <v>102</v>
      </c>
    </row>
    <row r="69" spans="1:41" x14ac:dyDescent="0.25">
      <c r="A69" s="1" t="s">
        <v>19</v>
      </c>
      <c r="B69" s="1" t="s">
        <v>25</v>
      </c>
      <c r="C69" s="1" t="s">
        <v>21</v>
      </c>
      <c r="D69" s="1" t="s">
        <v>26</v>
      </c>
      <c r="E69" s="1" t="s">
        <v>96</v>
      </c>
      <c r="F69" s="1" t="s">
        <v>103</v>
      </c>
      <c r="G69" s="1" t="s">
        <v>114</v>
      </c>
      <c r="H69" s="1" t="s">
        <v>214</v>
      </c>
      <c r="I69" s="1" t="s">
        <v>100</v>
      </c>
      <c r="J69" s="1" t="s">
        <v>101</v>
      </c>
      <c r="K69" s="1" t="s">
        <v>175</v>
      </c>
      <c r="L69" s="1">
        <v>2650156</v>
      </c>
      <c r="M69" s="1" t="s">
        <v>215</v>
      </c>
      <c r="N69" s="8">
        <f>DATE(2019,7,29)</f>
        <v>43675</v>
      </c>
      <c r="O69" s="8">
        <f>DATE(2020,12,23)</f>
        <v>44188</v>
      </c>
      <c r="P69" s="1">
        <v>1112</v>
      </c>
      <c r="Q69" s="1">
        <v>800</v>
      </c>
      <c r="R69" s="1">
        <f t="shared" si="18"/>
        <v>800</v>
      </c>
      <c r="S69" s="1">
        <v>1</v>
      </c>
      <c r="U69" s="1">
        <f t="shared" si="19"/>
        <v>514</v>
      </c>
      <c r="V69" s="7">
        <f t="shared" si="20"/>
        <v>1.556420233463035</v>
      </c>
      <c r="W69" s="7">
        <f t="shared" si="21"/>
        <v>568.09338521400775</v>
      </c>
      <c r="X69" s="7">
        <f t="shared" si="22"/>
        <v>0.71011673151750965</v>
      </c>
      <c r="AA69" s="8">
        <f t="shared" si="23"/>
        <v>44927</v>
      </c>
      <c r="AB69" s="8">
        <f t="shared" si="24"/>
        <v>45291</v>
      </c>
      <c r="AC69" s="1">
        <v>2</v>
      </c>
      <c r="AD69" s="1">
        <f t="shared" si="25"/>
        <v>0</v>
      </c>
      <c r="AE69" s="1">
        <f t="shared" si="26"/>
        <v>0</v>
      </c>
      <c r="AF69" s="1">
        <f t="shared" si="27"/>
        <v>0</v>
      </c>
      <c r="AG69" s="1">
        <f t="shared" si="28"/>
        <v>0</v>
      </c>
      <c r="AH69" s="1">
        <f t="shared" si="29"/>
        <v>182.5</v>
      </c>
      <c r="AI69" s="5">
        <f t="shared" si="30"/>
        <v>0.5</v>
      </c>
      <c r="AJ69" s="5">
        <f t="shared" si="31"/>
        <v>0.35505836575875482</v>
      </c>
      <c r="AK69" s="5">
        <f t="shared" si="32"/>
        <v>0.35505836575875482</v>
      </c>
      <c r="AL69" s="5">
        <f t="shared" si="33"/>
        <v>0.35505836575875482</v>
      </c>
      <c r="AM69" s="5">
        <f t="shared" si="34"/>
        <v>0</v>
      </c>
      <c r="AN69" s="5">
        <f t="shared" si="35"/>
        <v>0.35505836575875482</v>
      </c>
      <c r="AO69" s="1" t="s">
        <v>102</v>
      </c>
    </row>
    <row r="70" spans="1:41" x14ac:dyDescent="0.25">
      <c r="A70" s="1" t="s">
        <v>19</v>
      </c>
      <c r="B70" s="1" t="s">
        <v>25</v>
      </c>
      <c r="C70" s="1" t="s">
        <v>21</v>
      </c>
      <c r="D70" s="1" t="s">
        <v>26</v>
      </c>
      <c r="E70" s="1" t="s">
        <v>96</v>
      </c>
      <c r="F70" s="1" t="s">
        <v>103</v>
      </c>
      <c r="G70" s="1" t="s">
        <v>114</v>
      </c>
      <c r="H70" s="1" t="s">
        <v>209</v>
      </c>
      <c r="I70" s="1" t="s">
        <v>210</v>
      </c>
      <c r="J70" s="1" t="s">
        <v>101</v>
      </c>
      <c r="K70" s="1" t="s">
        <v>116</v>
      </c>
      <c r="L70" s="1">
        <v>2677459</v>
      </c>
      <c r="M70" s="1" t="s">
        <v>216</v>
      </c>
      <c r="N70" s="8">
        <f>DATE(2020,2,3)</f>
        <v>43864</v>
      </c>
      <c r="O70" s="8">
        <f>DATE(2022,12,31)</f>
        <v>44926</v>
      </c>
      <c r="P70" s="1">
        <v>3758</v>
      </c>
      <c r="Q70" s="1">
        <v>1200</v>
      </c>
      <c r="R70" s="1">
        <f t="shared" si="18"/>
        <v>3200</v>
      </c>
      <c r="S70" s="1">
        <v>2.5</v>
      </c>
      <c r="U70" s="1">
        <f t="shared" si="19"/>
        <v>1063</v>
      </c>
      <c r="V70" s="7">
        <f t="shared" si="20"/>
        <v>3.0103480714957667</v>
      </c>
      <c r="W70" s="7">
        <f t="shared" si="21"/>
        <v>1098.7770460959548</v>
      </c>
      <c r="X70" s="7">
        <f t="shared" si="22"/>
        <v>1.3734713076199434</v>
      </c>
      <c r="AA70" s="8">
        <f t="shared" si="23"/>
        <v>44927</v>
      </c>
      <c r="AB70" s="8">
        <f t="shared" si="24"/>
        <v>45291</v>
      </c>
      <c r="AC70" s="1">
        <v>5</v>
      </c>
      <c r="AD70" s="1">
        <f t="shared" si="25"/>
        <v>0</v>
      </c>
      <c r="AE70" s="1">
        <f t="shared" si="26"/>
        <v>0</v>
      </c>
      <c r="AF70" s="1">
        <f t="shared" si="27"/>
        <v>0</v>
      </c>
      <c r="AG70" s="1">
        <f t="shared" si="28"/>
        <v>0</v>
      </c>
      <c r="AH70" s="1">
        <f t="shared" si="29"/>
        <v>182.5</v>
      </c>
      <c r="AI70" s="5">
        <f t="shared" si="30"/>
        <v>0.5</v>
      </c>
      <c r="AJ70" s="5">
        <f t="shared" si="31"/>
        <v>0.6867356538099717</v>
      </c>
      <c r="AK70" s="5">
        <f t="shared" si="32"/>
        <v>1.7168391345249292</v>
      </c>
      <c r="AL70" s="5">
        <f t="shared" si="33"/>
        <v>4.2920978363123226</v>
      </c>
      <c r="AM70" s="5">
        <f t="shared" si="34"/>
        <v>0</v>
      </c>
      <c r="AN70" s="5">
        <f t="shared" si="35"/>
        <v>4.2920978363123226</v>
      </c>
      <c r="AO70" s="1" t="s">
        <v>102</v>
      </c>
    </row>
    <row r="71" spans="1:41" x14ac:dyDescent="0.25">
      <c r="A71" s="1" t="s">
        <v>19</v>
      </c>
      <c r="B71" s="1" t="s">
        <v>25</v>
      </c>
      <c r="C71" s="1" t="s">
        <v>21</v>
      </c>
      <c r="D71" s="1" t="s">
        <v>26</v>
      </c>
      <c r="E71" s="1" t="s">
        <v>96</v>
      </c>
      <c r="F71" s="1" t="s">
        <v>103</v>
      </c>
      <c r="G71" s="1" t="s">
        <v>114</v>
      </c>
      <c r="H71" s="1" t="s">
        <v>212</v>
      </c>
      <c r="I71" s="1" t="s">
        <v>210</v>
      </c>
      <c r="J71" s="1" t="s">
        <v>101</v>
      </c>
      <c r="K71" s="1" t="s">
        <v>116</v>
      </c>
      <c r="L71" s="1">
        <v>2677506</v>
      </c>
      <c r="M71" s="1" t="s">
        <v>217</v>
      </c>
      <c r="N71" s="8">
        <f>DATE(2020,2,3)</f>
        <v>43864</v>
      </c>
      <c r="O71" s="8">
        <f>DATE(2022,12,31)</f>
        <v>44926</v>
      </c>
      <c r="P71" s="1">
        <v>3758</v>
      </c>
      <c r="Q71" s="1">
        <v>1200</v>
      </c>
      <c r="R71" s="1">
        <f t="shared" si="18"/>
        <v>3200</v>
      </c>
      <c r="S71" s="1">
        <v>2.5</v>
      </c>
      <c r="U71" s="1">
        <f t="shared" si="19"/>
        <v>1063</v>
      </c>
      <c r="V71" s="7">
        <f t="shared" si="20"/>
        <v>3.0103480714957667</v>
      </c>
      <c r="W71" s="7">
        <f t="shared" si="21"/>
        <v>1098.7770460959548</v>
      </c>
      <c r="X71" s="7">
        <f t="shared" si="22"/>
        <v>1.3734713076199434</v>
      </c>
      <c r="AA71" s="8">
        <f t="shared" si="23"/>
        <v>44927</v>
      </c>
      <c r="AB71" s="8">
        <f t="shared" si="24"/>
        <v>45291</v>
      </c>
      <c r="AC71" s="1">
        <v>11</v>
      </c>
      <c r="AD71" s="1">
        <f t="shared" si="25"/>
        <v>0</v>
      </c>
      <c r="AE71" s="1">
        <f t="shared" si="26"/>
        <v>0</v>
      </c>
      <c r="AF71" s="1">
        <f t="shared" si="27"/>
        <v>0</v>
      </c>
      <c r="AG71" s="1">
        <f t="shared" si="28"/>
        <v>0</v>
      </c>
      <c r="AH71" s="1">
        <f t="shared" si="29"/>
        <v>182.5</v>
      </c>
      <c r="AI71" s="5">
        <f t="shared" si="30"/>
        <v>0.5</v>
      </c>
      <c r="AJ71" s="5">
        <f t="shared" si="31"/>
        <v>0.6867356538099717</v>
      </c>
      <c r="AK71" s="5">
        <f t="shared" si="32"/>
        <v>3.7770460959548444</v>
      </c>
      <c r="AL71" s="5">
        <f t="shared" si="33"/>
        <v>9.442615239887111</v>
      </c>
      <c r="AM71" s="5">
        <f t="shared" si="34"/>
        <v>0</v>
      </c>
      <c r="AN71" s="5">
        <f t="shared" si="35"/>
        <v>9.442615239887111</v>
      </c>
      <c r="AO71" s="1" t="s">
        <v>102</v>
      </c>
    </row>
    <row r="72" spans="1:41" x14ac:dyDescent="0.25">
      <c r="A72" s="1" t="s">
        <v>19</v>
      </c>
      <c r="B72" s="1" t="s">
        <v>25</v>
      </c>
      <c r="C72" s="1" t="s">
        <v>21</v>
      </c>
      <c r="D72" s="1" t="s">
        <v>26</v>
      </c>
      <c r="E72" s="1" t="s">
        <v>96</v>
      </c>
      <c r="F72" s="1" t="s">
        <v>103</v>
      </c>
      <c r="G72" s="1" t="s">
        <v>114</v>
      </c>
      <c r="H72" s="1" t="s">
        <v>115</v>
      </c>
      <c r="I72" s="1" t="s">
        <v>100</v>
      </c>
      <c r="J72" s="1" t="s">
        <v>101</v>
      </c>
      <c r="K72" s="1" t="s">
        <v>175</v>
      </c>
      <c r="L72" s="1">
        <v>2749914</v>
      </c>
      <c r="M72" s="1" t="s">
        <v>218</v>
      </c>
      <c r="N72" s="8">
        <f>DATE(2021,3,29)</f>
        <v>44284</v>
      </c>
      <c r="O72" s="8">
        <f>DATE(2022,7,29)</f>
        <v>44771</v>
      </c>
      <c r="P72" s="1">
        <v>1020</v>
      </c>
      <c r="Q72" s="1">
        <v>800</v>
      </c>
      <c r="R72" s="1">
        <f t="shared" si="18"/>
        <v>800</v>
      </c>
      <c r="S72" s="1">
        <v>1</v>
      </c>
      <c r="U72" s="1">
        <f t="shared" si="19"/>
        <v>488</v>
      </c>
      <c r="V72" s="7">
        <f t="shared" si="20"/>
        <v>1.639344262295082</v>
      </c>
      <c r="W72" s="7">
        <f t="shared" si="21"/>
        <v>598.36065573770497</v>
      </c>
      <c r="X72" s="7">
        <f t="shared" si="22"/>
        <v>0.74795081967213117</v>
      </c>
      <c r="AA72" s="8">
        <f t="shared" si="23"/>
        <v>44927</v>
      </c>
      <c r="AB72" s="8">
        <f t="shared" si="24"/>
        <v>45291</v>
      </c>
      <c r="AC72" s="1">
        <v>24</v>
      </c>
      <c r="AD72" s="1">
        <f t="shared" si="25"/>
        <v>0</v>
      </c>
      <c r="AE72" s="1">
        <f t="shared" si="26"/>
        <v>0</v>
      </c>
      <c r="AF72" s="1">
        <f t="shared" si="27"/>
        <v>0</v>
      </c>
      <c r="AG72" s="1">
        <f t="shared" si="28"/>
        <v>0</v>
      </c>
      <c r="AH72" s="1">
        <f t="shared" si="29"/>
        <v>182.5</v>
      </c>
      <c r="AI72" s="5">
        <f t="shared" si="30"/>
        <v>0.5</v>
      </c>
      <c r="AJ72" s="5">
        <f t="shared" si="31"/>
        <v>0.37397540983606559</v>
      </c>
      <c r="AK72" s="5">
        <f t="shared" si="32"/>
        <v>4.4877049180327866</v>
      </c>
      <c r="AL72" s="5">
        <f t="shared" si="33"/>
        <v>4.4877049180327866</v>
      </c>
      <c r="AM72" s="5">
        <f t="shared" si="34"/>
        <v>0</v>
      </c>
      <c r="AN72" s="5">
        <f t="shared" si="35"/>
        <v>4.4877049180327866</v>
      </c>
      <c r="AO72" s="1" t="s">
        <v>102</v>
      </c>
    </row>
    <row r="73" spans="1:41" x14ac:dyDescent="0.25">
      <c r="A73" s="1" t="s">
        <v>19</v>
      </c>
      <c r="B73" s="1" t="s">
        <v>25</v>
      </c>
      <c r="C73" s="1" t="s">
        <v>21</v>
      </c>
      <c r="D73" s="1" t="s">
        <v>26</v>
      </c>
      <c r="E73" s="1" t="s">
        <v>96</v>
      </c>
      <c r="F73" s="1" t="s">
        <v>103</v>
      </c>
      <c r="G73" s="1" t="s">
        <v>114</v>
      </c>
      <c r="H73" s="1" t="s">
        <v>212</v>
      </c>
      <c r="I73" s="1" t="s">
        <v>210</v>
      </c>
      <c r="J73" s="1" t="s">
        <v>101</v>
      </c>
      <c r="K73" s="1" t="s">
        <v>175</v>
      </c>
      <c r="L73" s="1">
        <v>2749918</v>
      </c>
      <c r="M73" s="1" t="s">
        <v>219</v>
      </c>
      <c r="N73" s="8">
        <f>DATE(2021,3,29)</f>
        <v>44284</v>
      </c>
      <c r="O73" s="8">
        <f>DATE(2022,7,29)</f>
        <v>44771</v>
      </c>
      <c r="P73" s="1">
        <v>1327</v>
      </c>
      <c r="Q73" s="1">
        <v>1200</v>
      </c>
      <c r="R73" s="1">
        <f t="shared" si="18"/>
        <v>1200</v>
      </c>
      <c r="S73" s="1">
        <v>2.5</v>
      </c>
      <c r="U73" s="1">
        <f t="shared" si="19"/>
        <v>488</v>
      </c>
      <c r="V73" s="7">
        <f t="shared" si="20"/>
        <v>2.459016393442623</v>
      </c>
      <c r="W73" s="7">
        <f t="shared" si="21"/>
        <v>897.54098360655735</v>
      </c>
      <c r="X73" s="7">
        <f t="shared" si="22"/>
        <v>1.1219262295081966</v>
      </c>
      <c r="AA73" s="8">
        <f t="shared" si="23"/>
        <v>44927</v>
      </c>
      <c r="AB73" s="8">
        <f t="shared" si="24"/>
        <v>45291</v>
      </c>
      <c r="AC73" s="1">
        <v>22</v>
      </c>
      <c r="AD73" s="1">
        <f t="shared" si="25"/>
        <v>0</v>
      </c>
      <c r="AE73" s="1">
        <f t="shared" si="26"/>
        <v>0</v>
      </c>
      <c r="AF73" s="1">
        <f t="shared" si="27"/>
        <v>0</v>
      </c>
      <c r="AG73" s="1">
        <f t="shared" si="28"/>
        <v>0</v>
      </c>
      <c r="AH73" s="1">
        <f t="shared" si="29"/>
        <v>182.5</v>
      </c>
      <c r="AI73" s="5">
        <f t="shared" si="30"/>
        <v>0.5</v>
      </c>
      <c r="AJ73" s="5">
        <f t="shared" si="31"/>
        <v>0.56096311475409832</v>
      </c>
      <c r="AK73" s="5">
        <f t="shared" si="32"/>
        <v>6.1705942622950811</v>
      </c>
      <c r="AL73" s="5">
        <f t="shared" si="33"/>
        <v>15.426485655737704</v>
      </c>
      <c r="AM73" s="5">
        <f t="shared" si="34"/>
        <v>0</v>
      </c>
      <c r="AN73" s="5">
        <f t="shared" si="35"/>
        <v>15.426485655737704</v>
      </c>
      <c r="AO73" s="1" t="s">
        <v>102</v>
      </c>
    </row>
    <row r="74" spans="1:41" x14ac:dyDescent="0.25">
      <c r="A74" s="1" t="s">
        <v>19</v>
      </c>
      <c r="B74" s="1" t="s">
        <v>25</v>
      </c>
      <c r="C74" s="1" t="s">
        <v>21</v>
      </c>
      <c r="D74" s="1" t="s">
        <v>26</v>
      </c>
      <c r="E74" s="1" t="s">
        <v>96</v>
      </c>
      <c r="F74" s="1" t="s">
        <v>103</v>
      </c>
      <c r="G74" s="1" t="s">
        <v>114</v>
      </c>
      <c r="H74" s="1" t="s">
        <v>212</v>
      </c>
      <c r="I74" s="1" t="s">
        <v>210</v>
      </c>
      <c r="J74" s="1" t="s">
        <v>101</v>
      </c>
      <c r="K74" s="1" t="s">
        <v>116</v>
      </c>
      <c r="L74" s="1">
        <v>2749921</v>
      </c>
      <c r="M74" s="1" t="s">
        <v>220</v>
      </c>
      <c r="N74" s="8">
        <f>DATE(2021,3,29)</f>
        <v>44284</v>
      </c>
      <c r="O74" s="8">
        <f>DATE(2023,12,29)</f>
        <v>45289</v>
      </c>
      <c r="P74" s="1">
        <v>3758</v>
      </c>
      <c r="Q74" s="1">
        <v>1200</v>
      </c>
      <c r="R74" s="1">
        <f t="shared" si="18"/>
        <v>3200</v>
      </c>
      <c r="S74" s="1">
        <v>2.5</v>
      </c>
      <c r="U74" s="1">
        <f t="shared" si="19"/>
        <v>1006</v>
      </c>
      <c r="V74" s="7">
        <f t="shared" si="20"/>
        <v>3.1809145129224654</v>
      </c>
      <c r="W74" s="7">
        <f t="shared" si="21"/>
        <v>1161.0337972166999</v>
      </c>
      <c r="X74" s="7">
        <f t="shared" si="22"/>
        <v>1.4512922465208749</v>
      </c>
      <c r="AA74" s="8">
        <f t="shared" si="23"/>
        <v>44927</v>
      </c>
      <c r="AB74" s="8">
        <f t="shared" si="24"/>
        <v>45291</v>
      </c>
      <c r="AC74" s="1">
        <v>10</v>
      </c>
      <c r="AD74" s="1">
        <f t="shared" si="25"/>
        <v>0</v>
      </c>
      <c r="AE74" s="1">
        <f t="shared" si="26"/>
        <v>0</v>
      </c>
      <c r="AF74" s="1">
        <f t="shared" si="27"/>
        <v>363</v>
      </c>
      <c r="AG74" s="1">
        <f t="shared" si="28"/>
        <v>0</v>
      </c>
      <c r="AH74" s="1">
        <f t="shared" si="29"/>
        <v>0</v>
      </c>
      <c r="AI74" s="5">
        <f t="shared" si="30"/>
        <v>0.9945205479452055</v>
      </c>
      <c r="AJ74" s="5">
        <f t="shared" si="31"/>
        <v>1.4433399602385688</v>
      </c>
      <c r="AK74" s="5">
        <f t="shared" si="32"/>
        <v>14.433399602385688</v>
      </c>
      <c r="AL74" s="5">
        <f t="shared" si="33"/>
        <v>36.083499005964221</v>
      </c>
      <c r="AM74" s="5">
        <f t="shared" si="34"/>
        <v>0</v>
      </c>
      <c r="AN74" s="5">
        <f t="shared" si="35"/>
        <v>36.083499005964221</v>
      </c>
      <c r="AO74" s="1" t="s">
        <v>102</v>
      </c>
    </row>
    <row r="75" spans="1:41" x14ac:dyDescent="0.25">
      <c r="A75" s="1" t="s">
        <v>19</v>
      </c>
      <c r="B75" s="1" t="s">
        <v>25</v>
      </c>
      <c r="C75" s="1" t="s">
        <v>21</v>
      </c>
      <c r="D75" s="1" t="s">
        <v>26</v>
      </c>
      <c r="E75" s="1" t="s">
        <v>96</v>
      </c>
      <c r="F75" s="1" t="s">
        <v>103</v>
      </c>
      <c r="G75" s="1" t="s">
        <v>114</v>
      </c>
      <c r="H75" s="1" t="s">
        <v>209</v>
      </c>
      <c r="I75" s="1" t="s">
        <v>210</v>
      </c>
      <c r="J75" s="1" t="s">
        <v>101</v>
      </c>
      <c r="K75" s="1" t="s">
        <v>116</v>
      </c>
      <c r="L75" s="1">
        <v>2749925</v>
      </c>
      <c r="M75" s="1" t="s">
        <v>221</v>
      </c>
      <c r="N75" s="8">
        <f>DATE(2021,3,29)</f>
        <v>44284</v>
      </c>
      <c r="O75" s="8">
        <f>DATE(2023,12,29)</f>
        <v>45289</v>
      </c>
      <c r="P75" s="1">
        <v>3758</v>
      </c>
      <c r="Q75" s="1">
        <v>1200</v>
      </c>
      <c r="R75" s="1">
        <f t="shared" si="18"/>
        <v>3200</v>
      </c>
      <c r="S75" s="1">
        <v>2.5</v>
      </c>
      <c r="U75" s="1">
        <f t="shared" si="19"/>
        <v>1006</v>
      </c>
      <c r="V75" s="7">
        <f t="shared" si="20"/>
        <v>3.1809145129224654</v>
      </c>
      <c r="W75" s="7">
        <f t="shared" si="21"/>
        <v>1161.0337972166999</v>
      </c>
      <c r="X75" s="7">
        <f t="shared" si="22"/>
        <v>1.4512922465208749</v>
      </c>
      <c r="AA75" s="8">
        <f t="shared" si="23"/>
        <v>44927</v>
      </c>
      <c r="AB75" s="8">
        <f t="shared" si="24"/>
        <v>45291</v>
      </c>
      <c r="AC75" s="1">
        <v>5</v>
      </c>
      <c r="AD75" s="1">
        <f t="shared" si="25"/>
        <v>0</v>
      </c>
      <c r="AE75" s="1">
        <f t="shared" si="26"/>
        <v>0</v>
      </c>
      <c r="AF75" s="1">
        <f t="shared" si="27"/>
        <v>363</v>
      </c>
      <c r="AG75" s="1">
        <f t="shared" si="28"/>
        <v>0</v>
      </c>
      <c r="AH75" s="1">
        <f t="shared" si="29"/>
        <v>0</v>
      </c>
      <c r="AI75" s="5">
        <f t="shared" si="30"/>
        <v>0.9945205479452055</v>
      </c>
      <c r="AJ75" s="5">
        <f t="shared" si="31"/>
        <v>1.4433399602385688</v>
      </c>
      <c r="AK75" s="5">
        <f t="shared" si="32"/>
        <v>7.2166998011928438</v>
      </c>
      <c r="AL75" s="5">
        <f t="shared" si="33"/>
        <v>18.04174950298211</v>
      </c>
      <c r="AM75" s="5">
        <f t="shared" si="34"/>
        <v>0</v>
      </c>
      <c r="AN75" s="5">
        <f t="shared" si="35"/>
        <v>18.04174950298211</v>
      </c>
      <c r="AO75" s="1" t="s">
        <v>102</v>
      </c>
    </row>
    <row r="76" spans="1:41" x14ac:dyDescent="0.25">
      <c r="A76" s="1" t="s">
        <v>19</v>
      </c>
      <c r="B76" s="1" t="s">
        <v>25</v>
      </c>
      <c r="C76" s="1" t="s">
        <v>21</v>
      </c>
      <c r="D76" s="1" t="s">
        <v>26</v>
      </c>
      <c r="E76" s="1" t="s">
        <v>96</v>
      </c>
      <c r="F76" s="1" t="s">
        <v>103</v>
      </c>
      <c r="G76" s="1" t="s">
        <v>114</v>
      </c>
      <c r="H76" s="1" t="s">
        <v>115</v>
      </c>
      <c r="I76" s="1" t="s">
        <v>100</v>
      </c>
      <c r="J76" s="1" t="s">
        <v>101</v>
      </c>
      <c r="K76" s="1" t="s">
        <v>175</v>
      </c>
      <c r="L76" s="1">
        <v>2798189</v>
      </c>
      <c r="M76" s="1" t="s">
        <v>222</v>
      </c>
      <c r="N76" s="8">
        <f>DATE(2021,8,11)</f>
        <v>44419</v>
      </c>
      <c r="O76" s="8">
        <f>DATE(2022,12,31)</f>
        <v>44926</v>
      </c>
      <c r="P76" s="1">
        <v>1020</v>
      </c>
      <c r="Q76" s="1">
        <v>800</v>
      </c>
      <c r="R76" s="1">
        <f t="shared" si="18"/>
        <v>800</v>
      </c>
      <c r="S76" s="1">
        <v>1</v>
      </c>
      <c r="U76" s="1">
        <f t="shared" si="19"/>
        <v>508</v>
      </c>
      <c r="V76" s="7">
        <f t="shared" si="20"/>
        <v>1.5748031496062993</v>
      </c>
      <c r="W76" s="7">
        <f t="shared" si="21"/>
        <v>574.80314960629926</v>
      </c>
      <c r="X76" s="7">
        <f t="shared" si="22"/>
        <v>0.71850393700787407</v>
      </c>
      <c r="AA76" s="8">
        <f t="shared" si="23"/>
        <v>44927</v>
      </c>
      <c r="AB76" s="8">
        <f t="shared" si="24"/>
        <v>45291</v>
      </c>
      <c r="AC76" s="1">
        <v>25</v>
      </c>
      <c r="AD76" s="1">
        <f t="shared" si="25"/>
        <v>0</v>
      </c>
      <c r="AE76" s="1">
        <f t="shared" si="26"/>
        <v>0</v>
      </c>
      <c r="AF76" s="1">
        <f t="shared" si="27"/>
        <v>0</v>
      </c>
      <c r="AG76" s="1">
        <f t="shared" si="28"/>
        <v>0</v>
      </c>
      <c r="AH76" s="1">
        <f t="shared" si="29"/>
        <v>182.5</v>
      </c>
      <c r="AI76" s="5">
        <f t="shared" si="30"/>
        <v>0.5</v>
      </c>
      <c r="AJ76" s="5">
        <f t="shared" si="31"/>
        <v>0.35925196850393704</v>
      </c>
      <c r="AK76" s="5">
        <f t="shared" si="32"/>
        <v>4.4906496062992129</v>
      </c>
      <c r="AL76" s="5">
        <f t="shared" si="33"/>
        <v>4.4906496062992129</v>
      </c>
      <c r="AM76" s="5">
        <f t="shared" si="34"/>
        <v>0</v>
      </c>
      <c r="AN76" s="5">
        <f t="shared" si="35"/>
        <v>4.4906496062992129</v>
      </c>
      <c r="AO76" s="1" t="s">
        <v>102</v>
      </c>
    </row>
    <row r="77" spans="1:41" x14ac:dyDescent="0.25">
      <c r="A77" s="1" t="s">
        <v>19</v>
      </c>
      <c r="B77" s="1" t="s">
        <v>25</v>
      </c>
      <c r="C77" s="1" t="s">
        <v>21</v>
      </c>
      <c r="D77" s="1" t="s">
        <v>26</v>
      </c>
      <c r="E77" s="1" t="s">
        <v>96</v>
      </c>
      <c r="F77" s="1" t="s">
        <v>103</v>
      </c>
      <c r="G77" s="1" t="s">
        <v>114</v>
      </c>
      <c r="H77" s="1" t="s">
        <v>209</v>
      </c>
      <c r="I77" s="1" t="s">
        <v>210</v>
      </c>
      <c r="J77" s="1" t="s">
        <v>101</v>
      </c>
      <c r="K77" s="1" t="s">
        <v>116</v>
      </c>
      <c r="L77" s="1">
        <v>2837487</v>
      </c>
      <c r="M77" s="1" t="s">
        <v>223</v>
      </c>
      <c r="N77" s="8">
        <f>DATE(2022,2,1)</f>
        <v>44593</v>
      </c>
      <c r="O77" s="8">
        <f>DATE(2024,12,24)</f>
        <v>45650</v>
      </c>
      <c r="P77" s="1">
        <v>3758</v>
      </c>
      <c r="Q77" s="1">
        <v>1200</v>
      </c>
      <c r="R77" s="1">
        <f t="shared" si="18"/>
        <v>3200</v>
      </c>
      <c r="S77" s="1">
        <v>2.5</v>
      </c>
      <c r="U77" s="1">
        <f t="shared" si="19"/>
        <v>1058</v>
      </c>
      <c r="V77" s="7">
        <f t="shared" si="20"/>
        <v>3.0245746691871456</v>
      </c>
      <c r="W77" s="7">
        <f t="shared" si="21"/>
        <v>1103.9697542533081</v>
      </c>
      <c r="X77" s="7">
        <f t="shared" si="22"/>
        <v>1.3799621928166352</v>
      </c>
      <c r="AA77" s="8">
        <f t="shared" si="23"/>
        <v>44927</v>
      </c>
      <c r="AB77" s="8">
        <f t="shared" si="24"/>
        <v>45291</v>
      </c>
      <c r="AC77" s="1">
        <v>37</v>
      </c>
      <c r="AD77" s="1">
        <f t="shared" si="25"/>
        <v>365</v>
      </c>
      <c r="AE77" s="1">
        <f t="shared" si="26"/>
        <v>0</v>
      </c>
      <c r="AF77" s="1">
        <f t="shared" si="27"/>
        <v>0</v>
      </c>
      <c r="AG77" s="1">
        <f t="shared" si="28"/>
        <v>0</v>
      </c>
      <c r="AH77" s="1">
        <f t="shared" si="29"/>
        <v>0</v>
      </c>
      <c r="AI77" s="5">
        <f t="shared" si="30"/>
        <v>1</v>
      </c>
      <c r="AJ77" s="5">
        <f t="shared" si="31"/>
        <v>1.3799621928166352</v>
      </c>
      <c r="AK77" s="5">
        <f t="shared" si="32"/>
        <v>51.0586011342155</v>
      </c>
      <c r="AL77" s="5">
        <f t="shared" si="33"/>
        <v>127.64650283553875</v>
      </c>
      <c r="AM77" s="5">
        <f t="shared" si="34"/>
        <v>0</v>
      </c>
      <c r="AN77" s="5">
        <f t="shared" si="35"/>
        <v>127.64650283553875</v>
      </c>
      <c r="AO77" s="1" t="s">
        <v>102</v>
      </c>
    </row>
    <row r="78" spans="1:41" x14ac:dyDescent="0.25">
      <c r="A78" s="1" t="s">
        <v>19</v>
      </c>
      <c r="B78" s="1" t="s">
        <v>25</v>
      </c>
      <c r="C78" s="1" t="s">
        <v>21</v>
      </c>
      <c r="D78" s="1" t="s">
        <v>26</v>
      </c>
      <c r="E78" s="1" t="s">
        <v>96</v>
      </c>
      <c r="F78" s="1" t="s">
        <v>103</v>
      </c>
      <c r="G78" s="1" t="s">
        <v>114</v>
      </c>
      <c r="H78" s="1" t="s">
        <v>212</v>
      </c>
      <c r="I78" s="1" t="s">
        <v>210</v>
      </c>
      <c r="J78" s="1" t="s">
        <v>101</v>
      </c>
      <c r="K78" s="1" t="s">
        <v>116</v>
      </c>
      <c r="L78" s="1">
        <v>2837681</v>
      </c>
      <c r="M78" s="1" t="s">
        <v>224</v>
      </c>
      <c r="N78" s="8">
        <f>DATE(2022,2,1)</f>
        <v>44593</v>
      </c>
      <c r="O78" s="8">
        <f>DATE(2024,12,24)</f>
        <v>45650</v>
      </c>
      <c r="P78" s="1">
        <v>3758</v>
      </c>
      <c r="Q78" s="1">
        <v>1200</v>
      </c>
      <c r="R78" s="1">
        <f t="shared" si="18"/>
        <v>3200</v>
      </c>
      <c r="S78" s="1">
        <v>2.5</v>
      </c>
      <c r="U78" s="1">
        <f t="shared" si="19"/>
        <v>1058</v>
      </c>
      <c r="V78" s="7">
        <f t="shared" si="20"/>
        <v>3.0245746691871456</v>
      </c>
      <c r="W78" s="7">
        <f t="shared" si="21"/>
        <v>1103.9697542533081</v>
      </c>
      <c r="X78" s="7">
        <f t="shared" si="22"/>
        <v>1.3799621928166352</v>
      </c>
      <c r="AA78" s="8">
        <f t="shared" si="23"/>
        <v>44927</v>
      </c>
      <c r="AB78" s="8">
        <f t="shared" si="24"/>
        <v>45291</v>
      </c>
      <c r="AC78" s="1">
        <v>34</v>
      </c>
      <c r="AD78" s="1">
        <f t="shared" si="25"/>
        <v>365</v>
      </c>
      <c r="AE78" s="1">
        <f t="shared" si="26"/>
        <v>0</v>
      </c>
      <c r="AF78" s="1">
        <f t="shared" si="27"/>
        <v>0</v>
      </c>
      <c r="AG78" s="1">
        <f t="shared" si="28"/>
        <v>0</v>
      </c>
      <c r="AH78" s="1">
        <f t="shared" si="29"/>
        <v>0</v>
      </c>
      <c r="AI78" s="5">
        <f t="shared" si="30"/>
        <v>1</v>
      </c>
      <c r="AJ78" s="5">
        <f t="shared" si="31"/>
        <v>1.3799621928166352</v>
      </c>
      <c r="AK78" s="5">
        <f t="shared" si="32"/>
        <v>46.918714555765597</v>
      </c>
      <c r="AL78" s="5">
        <f t="shared" si="33"/>
        <v>117.296786389414</v>
      </c>
      <c r="AM78" s="5">
        <f t="shared" si="34"/>
        <v>0</v>
      </c>
      <c r="AN78" s="5">
        <f t="shared" si="35"/>
        <v>117.296786389414</v>
      </c>
      <c r="AO78" s="1" t="s">
        <v>102</v>
      </c>
    </row>
    <row r="79" spans="1:41" x14ac:dyDescent="0.25">
      <c r="A79" s="1" t="s">
        <v>19</v>
      </c>
      <c r="B79" s="1" t="s">
        <v>25</v>
      </c>
      <c r="C79" s="1" t="s">
        <v>21</v>
      </c>
      <c r="D79" s="1" t="s">
        <v>26</v>
      </c>
      <c r="E79" s="1" t="s">
        <v>96</v>
      </c>
      <c r="F79" s="1" t="s">
        <v>103</v>
      </c>
      <c r="G79" s="1" t="s">
        <v>114</v>
      </c>
      <c r="H79" s="1" t="s">
        <v>115</v>
      </c>
      <c r="I79" s="1" t="s">
        <v>100</v>
      </c>
      <c r="J79" s="1" t="s">
        <v>101</v>
      </c>
      <c r="K79" s="1" t="s">
        <v>175</v>
      </c>
      <c r="L79" s="1">
        <v>2837691</v>
      </c>
      <c r="M79" s="1" t="s">
        <v>225</v>
      </c>
      <c r="N79" s="8">
        <f>DATE(2022,2,1)</f>
        <v>44593</v>
      </c>
      <c r="O79" s="8">
        <f>DATE(2023,7,29)</f>
        <v>45136</v>
      </c>
      <c r="P79" s="1">
        <v>1020</v>
      </c>
      <c r="Q79" s="1">
        <v>800</v>
      </c>
      <c r="R79" s="1">
        <f t="shared" si="18"/>
        <v>800</v>
      </c>
      <c r="S79" s="1">
        <v>1</v>
      </c>
      <c r="U79" s="1">
        <f t="shared" si="19"/>
        <v>544</v>
      </c>
      <c r="V79" s="7">
        <f t="shared" si="20"/>
        <v>1.4705882352941178</v>
      </c>
      <c r="W79" s="7">
        <f t="shared" si="21"/>
        <v>536.76470588235293</v>
      </c>
      <c r="X79" s="7">
        <f t="shared" si="22"/>
        <v>0.67095588235294112</v>
      </c>
      <c r="AA79" s="8">
        <f t="shared" si="23"/>
        <v>44927</v>
      </c>
      <c r="AB79" s="8">
        <f t="shared" si="24"/>
        <v>45291</v>
      </c>
      <c r="AC79" s="1">
        <v>24</v>
      </c>
      <c r="AD79" s="1">
        <f t="shared" si="25"/>
        <v>0</v>
      </c>
      <c r="AE79" s="1">
        <f t="shared" si="26"/>
        <v>0</v>
      </c>
      <c r="AF79" s="1">
        <f t="shared" si="27"/>
        <v>210</v>
      </c>
      <c r="AG79" s="1">
        <f t="shared" si="28"/>
        <v>0</v>
      </c>
      <c r="AH79" s="1">
        <f t="shared" si="29"/>
        <v>0</v>
      </c>
      <c r="AI79" s="5">
        <f t="shared" si="30"/>
        <v>0.57534246575342463</v>
      </c>
      <c r="AJ79" s="5">
        <f t="shared" si="31"/>
        <v>0.38602941176470584</v>
      </c>
      <c r="AK79" s="5">
        <f t="shared" si="32"/>
        <v>9.2647058823529402</v>
      </c>
      <c r="AL79" s="5">
        <f t="shared" si="33"/>
        <v>9.2647058823529402</v>
      </c>
      <c r="AM79" s="5">
        <f t="shared" si="34"/>
        <v>0</v>
      </c>
      <c r="AN79" s="5">
        <f t="shared" si="35"/>
        <v>9.2647058823529402</v>
      </c>
      <c r="AO79" s="1" t="s">
        <v>102</v>
      </c>
    </row>
    <row r="80" spans="1:41" x14ac:dyDescent="0.25">
      <c r="A80" s="1" t="s">
        <v>19</v>
      </c>
      <c r="B80" s="1" t="s">
        <v>25</v>
      </c>
      <c r="C80" s="1" t="s">
        <v>21</v>
      </c>
      <c r="D80" s="1" t="s">
        <v>26</v>
      </c>
      <c r="E80" s="1" t="s">
        <v>96</v>
      </c>
      <c r="F80" s="1" t="s">
        <v>103</v>
      </c>
      <c r="G80" s="1" t="s">
        <v>114</v>
      </c>
      <c r="H80" s="1" t="s">
        <v>212</v>
      </c>
      <c r="I80" s="1" t="s">
        <v>210</v>
      </c>
      <c r="J80" s="1" t="s">
        <v>101</v>
      </c>
      <c r="K80" s="1" t="s">
        <v>175</v>
      </c>
      <c r="L80" s="1">
        <v>2837693</v>
      </c>
      <c r="M80" s="1" t="s">
        <v>226</v>
      </c>
      <c r="N80" s="8">
        <f>DATE(2022,2,1)</f>
        <v>44593</v>
      </c>
      <c r="O80" s="8">
        <f>DATE(2023,7,30)</f>
        <v>45137</v>
      </c>
      <c r="P80" s="1">
        <v>1327</v>
      </c>
      <c r="Q80" s="1">
        <v>1200</v>
      </c>
      <c r="R80" s="1">
        <f t="shared" si="18"/>
        <v>1200</v>
      </c>
      <c r="S80" s="1">
        <v>2.5</v>
      </c>
      <c r="U80" s="1">
        <f t="shared" si="19"/>
        <v>545</v>
      </c>
      <c r="V80" s="7">
        <f t="shared" si="20"/>
        <v>2.2018348623853212</v>
      </c>
      <c r="W80" s="7">
        <f t="shared" si="21"/>
        <v>803.66972477064223</v>
      </c>
      <c r="X80" s="7">
        <f t="shared" si="22"/>
        <v>1.0045871559633028</v>
      </c>
      <c r="AA80" s="8">
        <f t="shared" si="23"/>
        <v>44927</v>
      </c>
      <c r="AB80" s="8">
        <f t="shared" si="24"/>
        <v>45291</v>
      </c>
      <c r="AC80" s="1">
        <v>12</v>
      </c>
      <c r="AD80" s="1">
        <f t="shared" si="25"/>
        <v>0</v>
      </c>
      <c r="AE80" s="1">
        <f t="shared" si="26"/>
        <v>0</v>
      </c>
      <c r="AF80" s="1">
        <f t="shared" si="27"/>
        <v>211</v>
      </c>
      <c r="AG80" s="1">
        <f t="shared" si="28"/>
        <v>0</v>
      </c>
      <c r="AH80" s="1">
        <f t="shared" si="29"/>
        <v>0</v>
      </c>
      <c r="AI80" s="5">
        <f t="shared" si="30"/>
        <v>0.57808219178082187</v>
      </c>
      <c r="AJ80" s="5">
        <f t="shared" si="31"/>
        <v>0.58073394495412844</v>
      </c>
      <c r="AK80" s="5">
        <f t="shared" si="32"/>
        <v>6.9688073394495413</v>
      </c>
      <c r="AL80" s="5">
        <f t="shared" si="33"/>
        <v>17.422018348623855</v>
      </c>
      <c r="AM80" s="5">
        <f t="shared" si="34"/>
        <v>0</v>
      </c>
      <c r="AN80" s="5">
        <f t="shared" si="35"/>
        <v>17.422018348623855</v>
      </c>
      <c r="AO80" s="1" t="s">
        <v>102</v>
      </c>
    </row>
    <row r="81" spans="1:41" x14ac:dyDescent="0.25">
      <c r="A81" s="1" t="s">
        <v>19</v>
      </c>
      <c r="B81" s="1" t="s">
        <v>25</v>
      </c>
      <c r="C81" s="1" t="s">
        <v>21</v>
      </c>
      <c r="D81" s="1" t="s">
        <v>26</v>
      </c>
      <c r="E81" s="1" t="s">
        <v>172</v>
      </c>
      <c r="F81" s="1" t="s">
        <v>103</v>
      </c>
      <c r="G81" s="1" t="s">
        <v>185</v>
      </c>
      <c r="H81" s="1" t="s">
        <v>227</v>
      </c>
      <c r="I81" s="1" t="s">
        <v>228</v>
      </c>
      <c r="J81" s="1" t="s">
        <v>101</v>
      </c>
      <c r="L81" s="1">
        <v>2851786</v>
      </c>
      <c r="M81" s="1" t="s">
        <v>229</v>
      </c>
      <c r="N81" s="8">
        <f>DATE(2022,3,15)</f>
        <v>44635</v>
      </c>
      <c r="O81" s="8">
        <f>DATE(2023,3,15)</f>
        <v>45000</v>
      </c>
      <c r="P81" s="1">
        <v>460</v>
      </c>
      <c r="Q81" s="1">
        <v>360</v>
      </c>
      <c r="R81" s="1">
        <f t="shared" si="18"/>
        <v>360</v>
      </c>
      <c r="S81" s="1">
        <v>2.5</v>
      </c>
      <c r="U81" s="1">
        <f t="shared" si="19"/>
        <v>366</v>
      </c>
      <c r="V81" s="7">
        <f t="shared" si="20"/>
        <v>0.98360655737704916</v>
      </c>
      <c r="W81" s="7">
        <f t="shared" si="21"/>
        <v>359.01639344262293</v>
      </c>
      <c r="X81" s="7">
        <f t="shared" si="22"/>
        <v>0.44877049180327866</v>
      </c>
      <c r="AA81" s="8">
        <f t="shared" si="23"/>
        <v>44927</v>
      </c>
      <c r="AB81" s="8">
        <f t="shared" si="24"/>
        <v>45291</v>
      </c>
      <c r="AC81" s="1">
        <v>168</v>
      </c>
      <c r="AD81" s="1">
        <f t="shared" si="25"/>
        <v>0</v>
      </c>
      <c r="AE81" s="1">
        <f t="shared" si="26"/>
        <v>0</v>
      </c>
      <c r="AF81" s="1">
        <f t="shared" si="27"/>
        <v>74</v>
      </c>
      <c r="AG81" s="1">
        <f t="shared" si="28"/>
        <v>0</v>
      </c>
      <c r="AH81" s="1">
        <f t="shared" si="29"/>
        <v>0</v>
      </c>
      <c r="AI81" s="5">
        <f t="shared" si="30"/>
        <v>0.20273972602739726</v>
      </c>
      <c r="AJ81" s="5">
        <f t="shared" si="31"/>
        <v>9.0983606557377042E-2</v>
      </c>
      <c r="AK81" s="5">
        <f t="shared" si="32"/>
        <v>15.285245901639342</v>
      </c>
      <c r="AL81" s="5">
        <f t="shared" si="33"/>
        <v>38.213114754098356</v>
      </c>
      <c r="AM81" s="5">
        <f t="shared" si="34"/>
        <v>0</v>
      </c>
      <c r="AN81" s="5">
        <f t="shared" si="35"/>
        <v>38.213114754098356</v>
      </c>
      <c r="AO81" s="1" t="s">
        <v>122</v>
      </c>
    </row>
    <row r="82" spans="1:41" x14ac:dyDescent="0.25">
      <c r="A82" s="1" t="s">
        <v>19</v>
      </c>
      <c r="B82" s="1" t="s">
        <v>25</v>
      </c>
      <c r="C82" s="1" t="s">
        <v>21</v>
      </c>
      <c r="D82" s="1" t="s">
        <v>26</v>
      </c>
      <c r="E82" s="1" t="s">
        <v>172</v>
      </c>
      <c r="F82" s="1" t="s">
        <v>103</v>
      </c>
      <c r="G82" s="1" t="s">
        <v>155</v>
      </c>
      <c r="H82" s="1" t="s">
        <v>230</v>
      </c>
      <c r="I82" s="1" t="s">
        <v>174</v>
      </c>
      <c r="J82" s="1" t="s">
        <v>101</v>
      </c>
      <c r="L82" s="1">
        <v>2875637</v>
      </c>
      <c r="M82" s="1" t="s">
        <v>231</v>
      </c>
      <c r="N82" s="8">
        <f>DATE(2022,4,1)</f>
        <v>44652</v>
      </c>
      <c r="O82" s="8">
        <f>DATE(2022,5,31)</f>
        <v>44712</v>
      </c>
      <c r="P82" s="1">
        <v>160</v>
      </c>
      <c r="Q82" s="1">
        <v>200</v>
      </c>
      <c r="R82" s="1">
        <f t="shared" si="18"/>
        <v>160</v>
      </c>
      <c r="S82" s="1">
        <v>1</v>
      </c>
      <c r="U82" s="1">
        <f t="shared" si="19"/>
        <v>61</v>
      </c>
      <c r="V82" s="7">
        <f t="shared" si="20"/>
        <v>2.622950819672131</v>
      </c>
      <c r="W82" s="7">
        <f t="shared" si="21"/>
        <v>160</v>
      </c>
      <c r="X82" s="7">
        <f t="shared" si="22"/>
        <v>0.2</v>
      </c>
      <c r="AA82" s="8">
        <f t="shared" si="23"/>
        <v>44927</v>
      </c>
      <c r="AB82" s="8">
        <f t="shared" si="24"/>
        <v>45291</v>
      </c>
      <c r="AC82" s="1">
        <v>0</v>
      </c>
      <c r="AD82" s="1">
        <f t="shared" si="25"/>
        <v>0</v>
      </c>
      <c r="AE82" s="1">
        <f t="shared" si="26"/>
        <v>0</v>
      </c>
      <c r="AF82" s="1">
        <f t="shared" si="27"/>
        <v>0</v>
      </c>
      <c r="AG82" s="1">
        <f t="shared" si="28"/>
        <v>0</v>
      </c>
      <c r="AH82" s="1">
        <f t="shared" si="29"/>
        <v>182.5</v>
      </c>
      <c r="AI82" s="5">
        <f t="shared" si="30"/>
        <v>2.9918032786885247</v>
      </c>
      <c r="AJ82" s="5">
        <f t="shared" si="31"/>
        <v>0.59836065573770492</v>
      </c>
      <c r="AK82" s="5">
        <f t="shared" si="32"/>
        <v>0</v>
      </c>
      <c r="AL82" s="5">
        <f t="shared" si="33"/>
        <v>0</v>
      </c>
      <c r="AM82" s="5">
        <f t="shared" si="34"/>
        <v>0</v>
      </c>
      <c r="AN82" s="5">
        <f t="shared" si="35"/>
        <v>0</v>
      </c>
      <c r="AO82" s="1" t="s">
        <v>122</v>
      </c>
    </row>
    <row r="83" spans="1:41" x14ac:dyDescent="0.25">
      <c r="A83" s="1" t="s">
        <v>19</v>
      </c>
      <c r="B83" s="1" t="s">
        <v>25</v>
      </c>
      <c r="C83" s="1" t="s">
        <v>21</v>
      </c>
      <c r="D83" s="1" t="s">
        <v>26</v>
      </c>
      <c r="E83" s="1" t="s">
        <v>96</v>
      </c>
      <c r="F83" s="1" t="s">
        <v>103</v>
      </c>
      <c r="G83" s="1" t="s">
        <v>114</v>
      </c>
      <c r="H83" s="1" t="s">
        <v>115</v>
      </c>
      <c r="I83" s="1" t="s">
        <v>100</v>
      </c>
      <c r="J83" s="1" t="s">
        <v>101</v>
      </c>
      <c r="K83" s="1" t="s">
        <v>175</v>
      </c>
      <c r="L83" s="1">
        <v>2885873</v>
      </c>
      <c r="M83" s="1" t="s">
        <v>232</v>
      </c>
      <c r="N83" s="8">
        <f>DATE(2022,7,25)</f>
        <v>44767</v>
      </c>
      <c r="O83" s="8">
        <f>DATE(2024,1,25)</f>
        <v>45316</v>
      </c>
      <c r="P83" s="1">
        <v>1020</v>
      </c>
      <c r="Q83" s="1">
        <v>800</v>
      </c>
      <c r="R83" s="1">
        <f t="shared" si="18"/>
        <v>800</v>
      </c>
      <c r="S83" s="1">
        <v>1</v>
      </c>
      <c r="U83" s="1">
        <f t="shared" si="19"/>
        <v>550</v>
      </c>
      <c r="V83" s="7">
        <f t="shared" si="20"/>
        <v>1.4545454545454546</v>
      </c>
      <c r="W83" s="7">
        <f t="shared" si="21"/>
        <v>530.90909090909088</v>
      </c>
      <c r="X83" s="7">
        <f t="shared" si="22"/>
        <v>0.66363636363636358</v>
      </c>
      <c r="AA83" s="8">
        <f t="shared" si="23"/>
        <v>44927</v>
      </c>
      <c r="AB83" s="8">
        <f t="shared" si="24"/>
        <v>45291</v>
      </c>
      <c r="AC83" s="1">
        <v>25</v>
      </c>
      <c r="AD83" s="1">
        <f t="shared" si="25"/>
        <v>365</v>
      </c>
      <c r="AE83" s="1">
        <f t="shared" si="26"/>
        <v>0</v>
      </c>
      <c r="AF83" s="1">
        <f t="shared" si="27"/>
        <v>0</v>
      </c>
      <c r="AG83" s="1">
        <f t="shared" si="28"/>
        <v>0</v>
      </c>
      <c r="AH83" s="1">
        <f t="shared" si="29"/>
        <v>0</v>
      </c>
      <c r="AI83" s="5">
        <f t="shared" si="30"/>
        <v>1</v>
      </c>
      <c r="AJ83" s="5">
        <f t="shared" si="31"/>
        <v>0.66363636363636358</v>
      </c>
      <c r="AK83" s="5">
        <f t="shared" si="32"/>
        <v>16.59090909090909</v>
      </c>
      <c r="AL83" s="5">
        <f t="shared" si="33"/>
        <v>16.59090909090909</v>
      </c>
      <c r="AM83" s="5">
        <f t="shared" si="34"/>
        <v>0</v>
      </c>
      <c r="AN83" s="5">
        <f t="shared" si="35"/>
        <v>16.59090909090909</v>
      </c>
      <c r="AO83" s="1" t="s">
        <v>102</v>
      </c>
    </row>
    <row r="84" spans="1:41" x14ac:dyDescent="0.25">
      <c r="A84" s="1" t="s">
        <v>19</v>
      </c>
      <c r="B84" s="1" t="s">
        <v>25</v>
      </c>
      <c r="C84" s="1" t="s">
        <v>21</v>
      </c>
      <c r="D84" s="1" t="s">
        <v>26</v>
      </c>
      <c r="E84" s="1" t="s">
        <v>172</v>
      </c>
      <c r="F84" s="1" t="s">
        <v>181</v>
      </c>
      <c r="G84" s="1" t="s">
        <v>155</v>
      </c>
      <c r="H84" s="1" t="s">
        <v>230</v>
      </c>
      <c r="I84" s="1" t="s">
        <v>174</v>
      </c>
      <c r="J84" s="1" t="s">
        <v>101</v>
      </c>
      <c r="K84" s="1" t="s">
        <v>183</v>
      </c>
      <c r="L84" s="1">
        <v>2894724</v>
      </c>
      <c r="M84" s="1" t="s">
        <v>233</v>
      </c>
      <c r="N84" s="8">
        <f>DATE(2022,7,27)</f>
        <v>44769</v>
      </c>
      <c r="O84" s="8">
        <f>DATE(2022,10,15)</f>
        <v>44849</v>
      </c>
      <c r="P84" s="1">
        <v>160</v>
      </c>
      <c r="Q84" s="1">
        <v>200</v>
      </c>
      <c r="R84" s="1">
        <f t="shared" si="18"/>
        <v>160</v>
      </c>
      <c r="S84" s="1">
        <v>2.5</v>
      </c>
      <c r="U84" s="1">
        <f t="shared" si="19"/>
        <v>81</v>
      </c>
      <c r="V84" s="7">
        <f t="shared" si="20"/>
        <v>1.9753086419753085</v>
      </c>
      <c r="W84" s="7">
        <f t="shared" si="21"/>
        <v>160</v>
      </c>
      <c r="X84" s="7">
        <f t="shared" si="22"/>
        <v>0.2</v>
      </c>
      <c r="AA84" s="8">
        <f t="shared" si="23"/>
        <v>44927</v>
      </c>
      <c r="AB84" s="8">
        <f t="shared" si="24"/>
        <v>45291</v>
      </c>
      <c r="AC84" s="1">
        <v>87</v>
      </c>
      <c r="AD84" s="1">
        <f t="shared" si="25"/>
        <v>0</v>
      </c>
      <c r="AE84" s="1">
        <f t="shared" si="26"/>
        <v>0</v>
      </c>
      <c r="AF84" s="1">
        <f t="shared" si="27"/>
        <v>0</v>
      </c>
      <c r="AG84" s="1">
        <f t="shared" si="28"/>
        <v>0</v>
      </c>
      <c r="AH84" s="1">
        <f t="shared" si="29"/>
        <v>182.5</v>
      </c>
      <c r="AI84" s="5">
        <f t="shared" si="30"/>
        <v>2.2530864197530862</v>
      </c>
      <c r="AJ84" s="5">
        <f t="shared" si="31"/>
        <v>0.45061728395061729</v>
      </c>
      <c r="AK84" s="5">
        <f t="shared" si="32"/>
        <v>19.601851851851851</v>
      </c>
      <c r="AL84" s="5">
        <f t="shared" si="33"/>
        <v>49.004629629629626</v>
      </c>
      <c r="AM84" s="5">
        <f t="shared" si="34"/>
        <v>0</v>
      </c>
      <c r="AN84" s="5">
        <f t="shared" si="35"/>
        <v>49.004629629629626</v>
      </c>
      <c r="AO84" s="1" t="s">
        <v>111</v>
      </c>
    </row>
    <row r="85" spans="1:41" x14ac:dyDescent="0.25">
      <c r="A85" s="1" t="s">
        <v>19</v>
      </c>
      <c r="B85" s="1" t="s">
        <v>25</v>
      </c>
      <c r="C85" s="1" t="s">
        <v>21</v>
      </c>
      <c r="D85" s="1" t="s">
        <v>26</v>
      </c>
      <c r="E85" s="1" t="s">
        <v>172</v>
      </c>
      <c r="F85" s="1" t="s">
        <v>181</v>
      </c>
      <c r="G85" s="1" t="s">
        <v>155</v>
      </c>
      <c r="H85" s="1" t="s">
        <v>230</v>
      </c>
      <c r="I85" s="1" t="s">
        <v>174</v>
      </c>
      <c r="J85" s="1" t="s">
        <v>101</v>
      </c>
      <c r="K85" s="1" t="s">
        <v>183</v>
      </c>
      <c r="L85" s="1">
        <v>2900155</v>
      </c>
      <c r="M85" s="1" t="s">
        <v>234</v>
      </c>
      <c r="N85" s="8">
        <f>DATE(2022,8,13)</f>
        <v>44786</v>
      </c>
      <c r="O85" s="8">
        <f>DATE(2022,11,5)</f>
        <v>44870</v>
      </c>
      <c r="P85" s="1">
        <v>160</v>
      </c>
      <c r="Q85" s="1">
        <v>200</v>
      </c>
      <c r="R85" s="1">
        <f t="shared" si="18"/>
        <v>160</v>
      </c>
      <c r="S85" s="1">
        <v>2.5</v>
      </c>
      <c r="U85" s="1">
        <f t="shared" si="19"/>
        <v>85</v>
      </c>
      <c r="V85" s="7">
        <f t="shared" si="20"/>
        <v>1.8823529411764706</v>
      </c>
      <c r="W85" s="7">
        <f t="shared" si="21"/>
        <v>160</v>
      </c>
      <c r="X85" s="7">
        <f t="shared" si="22"/>
        <v>0.2</v>
      </c>
      <c r="AA85" s="8">
        <f t="shared" si="23"/>
        <v>44927</v>
      </c>
      <c r="AB85" s="8">
        <f t="shared" si="24"/>
        <v>45291</v>
      </c>
      <c r="AC85" s="1">
        <v>87</v>
      </c>
      <c r="AD85" s="1">
        <f t="shared" si="25"/>
        <v>0</v>
      </c>
      <c r="AE85" s="1">
        <f t="shared" si="26"/>
        <v>0</v>
      </c>
      <c r="AF85" s="1">
        <f t="shared" si="27"/>
        <v>0</v>
      </c>
      <c r="AG85" s="1">
        <f t="shared" si="28"/>
        <v>0</v>
      </c>
      <c r="AH85" s="1">
        <f t="shared" si="29"/>
        <v>182.5</v>
      </c>
      <c r="AI85" s="5">
        <f t="shared" si="30"/>
        <v>2.1470588235294117</v>
      </c>
      <c r="AJ85" s="5">
        <f t="shared" si="31"/>
        <v>0.42941176470588238</v>
      </c>
      <c r="AK85" s="5">
        <f t="shared" si="32"/>
        <v>18.679411764705883</v>
      </c>
      <c r="AL85" s="5">
        <f t="shared" si="33"/>
        <v>46.69852941176471</v>
      </c>
      <c r="AM85" s="5">
        <f t="shared" si="34"/>
        <v>0</v>
      </c>
      <c r="AN85" s="5">
        <f t="shared" si="35"/>
        <v>46.69852941176471</v>
      </c>
      <c r="AO85" s="1" t="s">
        <v>111</v>
      </c>
    </row>
    <row r="86" spans="1:41" x14ac:dyDescent="0.25">
      <c r="A86" s="1" t="s">
        <v>19</v>
      </c>
      <c r="B86" s="1" t="s">
        <v>25</v>
      </c>
      <c r="C86" s="1" t="s">
        <v>21</v>
      </c>
      <c r="D86" s="1" t="s">
        <v>26</v>
      </c>
      <c r="E86" s="1" t="s">
        <v>96</v>
      </c>
      <c r="F86" s="1" t="s">
        <v>103</v>
      </c>
      <c r="G86" s="1" t="s">
        <v>155</v>
      </c>
      <c r="H86" s="1" t="s">
        <v>235</v>
      </c>
      <c r="I86" s="1" t="s">
        <v>174</v>
      </c>
      <c r="J86" s="1" t="s">
        <v>101</v>
      </c>
      <c r="K86" s="1" t="s">
        <v>163</v>
      </c>
      <c r="L86" s="1">
        <v>2905300</v>
      </c>
      <c r="M86" s="1" t="s">
        <v>236</v>
      </c>
      <c r="N86" s="8">
        <f>DATE(2022,8,16)</f>
        <v>44789</v>
      </c>
      <c r="O86" s="8">
        <f>DATE(2022,12,15)</f>
        <v>44910</v>
      </c>
      <c r="P86" s="1">
        <v>160</v>
      </c>
      <c r="Q86" s="1">
        <v>160</v>
      </c>
      <c r="R86" s="1">
        <f t="shared" si="18"/>
        <v>160</v>
      </c>
      <c r="S86" s="1">
        <v>1</v>
      </c>
      <c r="U86" s="1">
        <f t="shared" si="19"/>
        <v>122</v>
      </c>
      <c r="V86" s="7">
        <f t="shared" si="20"/>
        <v>1.3114754098360655</v>
      </c>
      <c r="W86" s="7">
        <f t="shared" si="21"/>
        <v>160</v>
      </c>
      <c r="X86" s="7">
        <f t="shared" si="22"/>
        <v>0.2</v>
      </c>
      <c r="AA86" s="8">
        <f t="shared" si="23"/>
        <v>44927</v>
      </c>
      <c r="AB86" s="8">
        <f t="shared" si="24"/>
        <v>45291</v>
      </c>
      <c r="AC86" s="1">
        <v>2</v>
      </c>
      <c r="AD86" s="1">
        <f t="shared" si="25"/>
        <v>0</v>
      </c>
      <c r="AE86" s="1">
        <f t="shared" si="26"/>
        <v>0</v>
      </c>
      <c r="AF86" s="1">
        <f t="shared" si="27"/>
        <v>0</v>
      </c>
      <c r="AG86" s="1">
        <f t="shared" si="28"/>
        <v>0</v>
      </c>
      <c r="AH86" s="1">
        <f t="shared" si="29"/>
        <v>182.5</v>
      </c>
      <c r="AI86" s="5">
        <f t="shared" si="30"/>
        <v>1.4959016393442623</v>
      </c>
      <c r="AJ86" s="5">
        <f t="shared" si="31"/>
        <v>0.29918032786885246</v>
      </c>
      <c r="AK86" s="5">
        <f t="shared" si="32"/>
        <v>0.29918032786885246</v>
      </c>
      <c r="AL86" s="5">
        <f t="shared" si="33"/>
        <v>0.29918032786885246</v>
      </c>
      <c r="AM86" s="5">
        <f t="shared" si="34"/>
        <v>0</v>
      </c>
      <c r="AN86" s="5">
        <f t="shared" si="35"/>
        <v>0.29918032786885246</v>
      </c>
      <c r="AO86" s="1" t="s">
        <v>102</v>
      </c>
    </row>
    <row r="87" spans="1:41" x14ac:dyDescent="0.25">
      <c r="A87" s="1" t="s">
        <v>19</v>
      </c>
      <c r="B87" s="1" t="s">
        <v>25</v>
      </c>
      <c r="C87" s="1" t="s">
        <v>21</v>
      </c>
      <c r="D87" s="1" t="s">
        <v>26</v>
      </c>
      <c r="E87" s="1" t="s">
        <v>172</v>
      </c>
      <c r="F87" s="1" t="s">
        <v>181</v>
      </c>
      <c r="G87" s="1" t="s">
        <v>155</v>
      </c>
      <c r="H87" s="1" t="s">
        <v>230</v>
      </c>
      <c r="I87" s="1" t="s">
        <v>174</v>
      </c>
      <c r="J87" s="1" t="s">
        <v>101</v>
      </c>
      <c r="K87" s="1" t="s">
        <v>183</v>
      </c>
      <c r="L87" s="1">
        <v>2907247</v>
      </c>
      <c r="M87" s="1" t="s">
        <v>237</v>
      </c>
      <c r="N87" s="8">
        <f>DATE(2022,9,2)</f>
        <v>44806</v>
      </c>
      <c r="O87" s="8">
        <f>DATE(2022,11,30)</f>
        <v>44895</v>
      </c>
      <c r="P87" s="1">
        <v>160</v>
      </c>
      <c r="Q87" s="1">
        <v>200</v>
      </c>
      <c r="R87" s="1">
        <f t="shared" si="18"/>
        <v>160</v>
      </c>
      <c r="S87" s="1">
        <v>2.5</v>
      </c>
      <c r="U87" s="1">
        <f t="shared" si="19"/>
        <v>90</v>
      </c>
      <c r="V87" s="7">
        <f t="shared" si="20"/>
        <v>1.7777777777777777</v>
      </c>
      <c r="W87" s="7">
        <f t="shared" si="21"/>
        <v>160</v>
      </c>
      <c r="X87" s="7">
        <f t="shared" si="22"/>
        <v>0.2</v>
      </c>
      <c r="AA87" s="8">
        <f t="shared" si="23"/>
        <v>44927</v>
      </c>
      <c r="AB87" s="8">
        <f t="shared" si="24"/>
        <v>45291</v>
      </c>
      <c r="AC87" s="1">
        <v>103</v>
      </c>
      <c r="AD87" s="1">
        <f t="shared" si="25"/>
        <v>0</v>
      </c>
      <c r="AE87" s="1">
        <f t="shared" si="26"/>
        <v>0</v>
      </c>
      <c r="AF87" s="1">
        <f t="shared" si="27"/>
        <v>0</v>
      </c>
      <c r="AG87" s="1">
        <f t="shared" si="28"/>
        <v>0</v>
      </c>
      <c r="AH87" s="1">
        <f t="shared" si="29"/>
        <v>182.5</v>
      </c>
      <c r="AI87" s="5">
        <f t="shared" si="30"/>
        <v>2.0277777777777777</v>
      </c>
      <c r="AJ87" s="5">
        <f t="shared" si="31"/>
        <v>0.40555555555555556</v>
      </c>
      <c r="AK87" s="5">
        <f t="shared" si="32"/>
        <v>20.886111111111113</v>
      </c>
      <c r="AL87" s="5">
        <f t="shared" si="33"/>
        <v>52.215277777777786</v>
      </c>
      <c r="AM87" s="5">
        <f t="shared" si="34"/>
        <v>0</v>
      </c>
      <c r="AN87" s="5">
        <f t="shared" si="35"/>
        <v>52.215277777777786</v>
      </c>
      <c r="AO87" s="1" t="s">
        <v>111</v>
      </c>
    </row>
    <row r="88" spans="1:41" x14ac:dyDescent="0.25">
      <c r="A88" s="1" t="s">
        <v>19</v>
      </c>
      <c r="B88" s="1" t="s">
        <v>25</v>
      </c>
      <c r="C88" s="1" t="s">
        <v>21</v>
      </c>
      <c r="D88" s="1" t="s">
        <v>26</v>
      </c>
      <c r="E88" s="1" t="s">
        <v>96</v>
      </c>
      <c r="F88" s="1" t="s">
        <v>103</v>
      </c>
      <c r="G88" s="1" t="s">
        <v>114</v>
      </c>
      <c r="H88" s="1" t="s">
        <v>209</v>
      </c>
      <c r="I88" s="1" t="s">
        <v>210</v>
      </c>
      <c r="J88" s="1" t="s">
        <v>101</v>
      </c>
      <c r="K88" s="1" t="s">
        <v>116</v>
      </c>
      <c r="L88" s="1">
        <v>2944585</v>
      </c>
      <c r="M88" s="1" t="s">
        <v>238</v>
      </c>
      <c r="N88" s="8">
        <f>DATE(2023,2,2)</f>
        <v>44959</v>
      </c>
      <c r="O88" s="8">
        <f>DATE(2025,12,24)</f>
        <v>46015</v>
      </c>
      <c r="P88" s="1">
        <v>3758</v>
      </c>
      <c r="Q88" s="1">
        <v>1200</v>
      </c>
      <c r="R88" s="1">
        <f t="shared" si="18"/>
        <v>3200</v>
      </c>
      <c r="S88" s="1">
        <v>2.5</v>
      </c>
      <c r="U88" s="1">
        <f t="shared" si="19"/>
        <v>1057</v>
      </c>
      <c r="V88" s="7">
        <f t="shared" si="20"/>
        <v>3.0274361400189216</v>
      </c>
      <c r="W88" s="7">
        <f t="shared" si="21"/>
        <v>1105.0141911069063</v>
      </c>
      <c r="X88" s="7">
        <f t="shared" si="22"/>
        <v>1.381267738883633</v>
      </c>
      <c r="AA88" s="8">
        <f t="shared" si="23"/>
        <v>44927</v>
      </c>
      <c r="AB88" s="8">
        <f t="shared" si="24"/>
        <v>45291</v>
      </c>
      <c r="AC88" s="1">
        <v>36</v>
      </c>
      <c r="AD88" s="1">
        <f t="shared" si="25"/>
        <v>0</v>
      </c>
      <c r="AE88" s="1">
        <f t="shared" si="26"/>
        <v>333</v>
      </c>
      <c r="AF88" s="1">
        <f t="shared" si="27"/>
        <v>0</v>
      </c>
      <c r="AG88" s="1">
        <f t="shared" si="28"/>
        <v>0</v>
      </c>
      <c r="AH88" s="1">
        <f t="shared" si="29"/>
        <v>0</v>
      </c>
      <c r="AI88" s="5">
        <f t="shared" si="30"/>
        <v>0.9123287671232877</v>
      </c>
      <c r="AJ88" s="5">
        <f t="shared" si="31"/>
        <v>1.2601702932828762</v>
      </c>
      <c r="AK88" s="5">
        <f t="shared" si="32"/>
        <v>45.366130558183542</v>
      </c>
      <c r="AL88" s="5">
        <f t="shared" si="33"/>
        <v>113.41532639545886</v>
      </c>
      <c r="AM88" s="5">
        <f t="shared" si="34"/>
        <v>0</v>
      </c>
      <c r="AN88" s="5">
        <f t="shared" si="35"/>
        <v>113.41532639545886</v>
      </c>
      <c r="AO88" s="1" t="s">
        <v>102</v>
      </c>
    </row>
    <row r="89" spans="1:41" x14ac:dyDescent="0.25">
      <c r="A89" s="1" t="s">
        <v>19</v>
      </c>
      <c r="B89" s="1" t="s">
        <v>25</v>
      </c>
      <c r="C89" s="1" t="s">
        <v>21</v>
      </c>
      <c r="D89" s="1" t="s">
        <v>26</v>
      </c>
      <c r="E89" s="1" t="s">
        <v>96</v>
      </c>
      <c r="F89" s="1" t="s">
        <v>103</v>
      </c>
      <c r="G89" s="1" t="s">
        <v>114</v>
      </c>
      <c r="H89" s="1" t="s">
        <v>212</v>
      </c>
      <c r="I89" s="1" t="s">
        <v>210</v>
      </c>
      <c r="J89" s="1" t="s">
        <v>101</v>
      </c>
      <c r="K89" s="1" t="s">
        <v>116</v>
      </c>
      <c r="L89" s="1">
        <v>2944586</v>
      </c>
      <c r="M89" s="1" t="s">
        <v>239</v>
      </c>
      <c r="N89" s="8">
        <f>DATE(2023,2,2)</f>
        <v>44959</v>
      </c>
      <c r="O89" s="8">
        <f>DATE(2025,12,24)</f>
        <v>46015</v>
      </c>
      <c r="P89" s="1">
        <v>3758</v>
      </c>
      <c r="Q89" s="1">
        <v>1200</v>
      </c>
      <c r="R89" s="1">
        <f t="shared" si="18"/>
        <v>3200</v>
      </c>
      <c r="S89" s="1">
        <v>2.5</v>
      </c>
      <c r="U89" s="1">
        <f t="shared" si="19"/>
        <v>1057</v>
      </c>
      <c r="V89" s="7">
        <f t="shared" si="20"/>
        <v>3.0274361400189216</v>
      </c>
      <c r="W89" s="7">
        <f t="shared" si="21"/>
        <v>1105.0141911069063</v>
      </c>
      <c r="X89" s="7">
        <f t="shared" si="22"/>
        <v>1.381267738883633</v>
      </c>
      <c r="AA89" s="8">
        <f t="shared" si="23"/>
        <v>44927</v>
      </c>
      <c r="AB89" s="8">
        <f t="shared" si="24"/>
        <v>45291</v>
      </c>
      <c r="AC89" s="1">
        <v>34</v>
      </c>
      <c r="AD89" s="1">
        <f t="shared" si="25"/>
        <v>0</v>
      </c>
      <c r="AE89" s="1">
        <f t="shared" si="26"/>
        <v>333</v>
      </c>
      <c r="AF89" s="1">
        <f t="shared" si="27"/>
        <v>0</v>
      </c>
      <c r="AG89" s="1">
        <f t="shared" si="28"/>
        <v>0</v>
      </c>
      <c r="AH89" s="1">
        <f t="shared" si="29"/>
        <v>0</v>
      </c>
      <c r="AI89" s="5">
        <f t="shared" si="30"/>
        <v>0.9123287671232877</v>
      </c>
      <c r="AJ89" s="5">
        <f t="shared" si="31"/>
        <v>1.2601702932828762</v>
      </c>
      <c r="AK89" s="5">
        <f t="shared" si="32"/>
        <v>42.845789971617791</v>
      </c>
      <c r="AL89" s="5">
        <f t="shared" si="33"/>
        <v>107.11447492904448</v>
      </c>
      <c r="AM89" s="5">
        <f t="shared" si="34"/>
        <v>0</v>
      </c>
      <c r="AN89" s="5">
        <f t="shared" si="35"/>
        <v>107.11447492904448</v>
      </c>
      <c r="AO89" s="1" t="s">
        <v>102</v>
      </c>
    </row>
    <row r="90" spans="1:41" x14ac:dyDescent="0.25">
      <c r="A90" s="1" t="s">
        <v>19</v>
      </c>
      <c r="B90" s="1" t="s">
        <v>25</v>
      </c>
      <c r="C90" s="1" t="s">
        <v>21</v>
      </c>
      <c r="D90" s="1" t="s">
        <v>26</v>
      </c>
      <c r="E90" s="1" t="s">
        <v>96</v>
      </c>
      <c r="F90" s="1" t="s">
        <v>103</v>
      </c>
      <c r="G90" s="1" t="s">
        <v>114</v>
      </c>
      <c r="H90" s="1" t="s">
        <v>115</v>
      </c>
      <c r="I90" s="1" t="s">
        <v>100</v>
      </c>
      <c r="J90" s="1" t="s">
        <v>101</v>
      </c>
      <c r="K90" s="1" t="s">
        <v>175</v>
      </c>
      <c r="L90" s="1">
        <v>2944587</v>
      </c>
      <c r="M90" s="1" t="s">
        <v>240</v>
      </c>
      <c r="N90" s="8">
        <f>DATE(2023,2,2)</f>
        <v>44959</v>
      </c>
      <c r="O90" s="8">
        <f>DATE(2024,7,30)</f>
        <v>45503</v>
      </c>
      <c r="P90" s="1">
        <v>1020</v>
      </c>
      <c r="Q90" s="1">
        <v>800</v>
      </c>
      <c r="R90" s="1">
        <f t="shared" si="18"/>
        <v>800</v>
      </c>
      <c r="S90" s="1">
        <v>1</v>
      </c>
      <c r="U90" s="1">
        <f t="shared" si="19"/>
        <v>545</v>
      </c>
      <c r="V90" s="7">
        <f t="shared" si="20"/>
        <v>1.4678899082568808</v>
      </c>
      <c r="W90" s="7">
        <f t="shared" si="21"/>
        <v>535.77981651376149</v>
      </c>
      <c r="X90" s="7">
        <f t="shared" si="22"/>
        <v>0.66972477064220182</v>
      </c>
      <c r="AA90" s="8">
        <f t="shared" si="23"/>
        <v>44927</v>
      </c>
      <c r="AB90" s="8">
        <f t="shared" si="24"/>
        <v>45291</v>
      </c>
      <c r="AC90" s="1">
        <v>36</v>
      </c>
      <c r="AD90" s="1">
        <f t="shared" si="25"/>
        <v>0</v>
      </c>
      <c r="AE90" s="1">
        <f t="shared" si="26"/>
        <v>333</v>
      </c>
      <c r="AF90" s="1">
        <f t="shared" si="27"/>
        <v>0</v>
      </c>
      <c r="AG90" s="1">
        <f t="shared" si="28"/>
        <v>0</v>
      </c>
      <c r="AH90" s="1">
        <f t="shared" si="29"/>
        <v>0</v>
      </c>
      <c r="AI90" s="5">
        <f t="shared" si="30"/>
        <v>0.9123287671232877</v>
      </c>
      <c r="AJ90" s="5">
        <f t="shared" si="31"/>
        <v>0.61100917431192658</v>
      </c>
      <c r="AK90" s="5">
        <f t="shared" si="32"/>
        <v>21.996330275229358</v>
      </c>
      <c r="AL90" s="5">
        <f t="shared" si="33"/>
        <v>21.996330275229358</v>
      </c>
      <c r="AM90" s="5">
        <f t="shared" si="34"/>
        <v>0</v>
      </c>
      <c r="AN90" s="5">
        <f t="shared" si="35"/>
        <v>21.996330275229358</v>
      </c>
      <c r="AO90" s="1" t="s">
        <v>102</v>
      </c>
    </row>
    <row r="91" spans="1:41" x14ac:dyDescent="0.25">
      <c r="A91" s="1" t="s">
        <v>19</v>
      </c>
      <c r="B91" s="1" t="s">
        <v>25</v>
      </c>
      <c r="C91" s="1" t="s">
        <v>21</v>
      </c>
      <c r="D91" s="1" t="s">
        <v>26</v>
      </c>
      <c r="E91" s="1" t="s">
        <v>172</v>
      </c>
      <c r="F91" s="1" t="s">
        <v>103</v>
      </c>
      <c r="G91" s="1" t="s">
        <v>114</v>
      </c>
      <c r="H91" s="1" t="s">
        <v>173</v>
      </c>
      <c r="I91" s="1" t="s">
        <v>174</v>
      </c>
      <c r="J91" s="1" t="s">
        <v>101</v>
      </c>
      <c r="K91" s="1" t="s">
        <v>175</v>
      </c>
      <c r="L91" s="1">
        <v>2958269</v>
      </c>
      <c r="M91" s="1" t="s">
        <v>176</v>
      </c>
      <c r="N91" s="8">
        <f>DATE(2023,4,3)</f>
        <v>45019</v>
      </c>
      <c r="O91" s="8">
        <f>DATE(2024,8,31)</f>
        <v>45535</v>
      </c>
      <c r="P91" s="1">
        <v>1200</v>
      </c>
      <c r="Q91" s="1">
        <v>1200</v>
      </c>
      <c r="R91" s="1">
        <f t="shared" si="18"/>
        <v>1200</v>
      </c>
      <c r="S91" s="1">
        <v>2</v>
      </c>
      <c r="U91" s="1">
        <f t="shared" si="19"/>
        <v>517</v>
      </c>
      <c r="V91" s="7">
        <f t="shared" si="20"/>
        <v>2.3210831721470018</v>
      </c>
      <c r="W91" s="7">
        <f t="shared" si="21"/>
        <v>847.19535783365563</v>
      </c>
      <c r="X91" s="7">
        <f t="shared" si="22"/>
        <v>1.0589941972920696</v>
      </c>
      <c r="AA91" s="8">
        <f t="shared" si="23"/>
        <v>44927</v>
      </c>
      <c r="AB91" s="8">
        <f t="shared" si="24"/>
        <v>45291</v>
      </c>
      <c r="AC91" s="1">
        <v>16</v>
      </c>
      <c r="AD91" s="1">
        <f t="shared" si="25"/>
        <v>0</v>
      </c>
      <c r="AE91" s="1">
        <f t="shared" si="26"/>
        <v>273</v>
      </c>
      <c r="AF91" s="1">
        <f t="shared" si="27"/>
        <v>0</v>
      </c>
      <c r="AG91" s="1">
        <f t="shared" si="28"/>
        <v>0</v>
      </c>
      <c r="AH91" s="1">
        <f t="shared" si="29"/>
        <v>0</v>
      </c>
      <c r="AI91" s="5">
        <f t="shared" si="30"/>
        <v>0.74794520547945209</v>
      </c>
      <c r="AJ91" s="5">
        <f t="shared" si="31"/>
        <v>0.79206963249516438</v>
      </c>
      <c r="AK91" s="5">
        <f t="shared" si="32"/>
        <v>12.67311411992263</v>
      </c>
      <c r="AL91" s="5">
        <f t="shared" si="33"/>
        <v>25.34622823984526</v>
      </c>
      <c r="AM91" s="5">
        <f t="shared" si="34"/>
        <v>0</v>
      </c>
      <c r="AN91" s="5">
        <f t="shared" si="35"/>
        <v>25.34622823984526</v>
      </c>
      <c r="AO91" s="1" t="s">
        <v>122</v>
      </c>
    </row>
    <row r="92" spans="1:41" x14ac:dyDescent="0.25">
      <c r="A92" s="1" t="s">
        <v>19</v>
      </c>
      <c r="B92" s="1" t="s">
        <v>25</v>
      </c>
      <c r="C92" s="1" t="s">
        <v>21</v>
      </c>
      <c r="D92" s="1" t="s">
        <v>26</v>
      </c>
      <c r="E92" s="1" t="s">
        <v>172</v>
      </c>
      <c r="F92" s="1" t="s">
        <v>103</v>
      </c>
      <c r="G92" s="1" t="s">
        <v>114</v>
      </c>
      <c r="H92" s="1" t="s">
        <v>173</v>
      </c>
      <c r="I92" s="1" t="s">
        <v>174</v>
      </c>
      <c r="J92" s="1" t="s">
        <v>101</v>
      </c>
      <c r="K92" s="1" t="s">
        <v>175</v>
      </c>
      <c r="L92" s="1">
        <v>2958276</v>
      </c>
      <c r="M92" s="1" t="s">
        <v>176</v>
      </c>
      <c r="N92" s="8">
        <f>DATE(2023,4,3)</f>
        <v>45019</v>
      </c>
      <c r="O92" s="8">
        <f>DATE(2024,8,31)</f>
        <v>45535</v>
      </c>
      <c r="P92" s="1">
        <v>1200</v>
      </c>
      <c r="Q92" s="1">
        <v>1200</v>
      </c>
      <c r="R92" s="1">
        <f t="shared" si="18"/>
        <v>1200</v>
      </c>
      <c r="S92" s="1">
        <v>2</v>
      </c>
      <c r="U92" s="1">
        <f t="shared" si="19"/>
        <v>517</v>
      </c>
      <c r="V92" s="7">
        <f t="shared" si="20"/>
        <v>2.3210831721470018</v>
      </c>
      <c r="W92" s="7">
        <f t="shared" si="21"/>
        <v>847.19535783365563</v>
      </c>
      <c r="X92" s="7">
        <f t="shared" si="22"/>
        <v>1.0589941972920696</v>
      </c>
      <c r="AA92" s="8">
        <f t="shared" si="23"/>
        <v>44927</v>
      </c>
      <c r="AB92" s="8">
        <f t="shared" si="24"/>
        <v>45291</v>
      </c>
      <c r="AC92" s="1">
        <v>58</v>
      </c>
      <c r="AD92" s="1">
        <f t="shared" si="25"/>
        <v>0</v>
      </c>
      <c r="AE92" s="1">
        <f t="shared" si="26"/>
        <v>273</v>
      </c>
      <c r="AF92" s="1">
        <f t="shared" si="27"/>
        <v>0</v>
      </c>
      <c r="AG92" s="1">
        <f t="shared" si="28"/>
        <v>0</v>
      </c>
      <c r="AH92" s="1">
        <f t="shared" si="29"/>
        <v>0</v>
      </c>
      <c r="AI92" s="5">
        <f t="shared" si="30"/>
        <v>0.74794520547945209</v>
      </c>
      <c r="AJ92" s="5">
        <f t="shared" si="31"/>
        <v>0.79206963249516438</v>
      </c>
      <c r="AK92" s="5">
        <f t="shared" si="32"/>
        <v>45.940038684719532</v>
      </c>
      <c r="AL92" s="5">
        <f t="shared" si="33"/>
        <v>91.880077369439064</v>
      </c>
      <c r="AM92" s="5">
        <f t="shared" si="34"/>
        <v>0</v>
      </c>
      <c r="AN92" s="5">
        <f t="shared" si="35"/>
        <v>91.880077369439064</v>
      </c>
      <c r="AO92" s="1" t="s">
        <v>122</v>
      </c>
    </row>
    <row r="93" spans="1:41" x14ac:dyDescent="0.25">
      <c r="A93" s="1" t="s">
        <v>19</v>
      </c>
      <c r="B93" s="1" t="s">
        <v>25</v>
      </c>
      <c r="C93" s="1" t="s">
        <v>21</v>
      </c>
      <c r="D93" s="1" t="s">
        <v>26</v>
      </c>
      <c r="E93" s="1" t="s">
        <v>172</v>
      </c>
      <c r="F93" s="1" t="s">
        <v>103</v>
      </c>
      <c r="G93" s="1" t="s">
        <v>114</v>
      </c>
      <c r="H93" s="1" t="s">
        <v>179</v>
      </c>
      <c r="I93" s="1" t="s">
        <v>174</v>
      </c>
      <c r="J93" s="1" t="s">
        <v>101</v>
      </c>
      <c r="K93" s="1" t="s">
        <v>175</v>
      </c>
      <c r="L93" s="1">
        <v>2958277</v>
      </c>
      <c r="M93" s="1" t="s">
        <v>180</v>
      </c>
      <c r="N93" s="8">
        <f>DATE(2023,4,3)</f>
        <v>45019</v>
      </c>
      <c r="O93" s="8">
        <f>DATE(2024,8,31)</f>
        <v>45535</v>
      </c>
      <c r="P93" s="1">
        <v>1200</v>
      </c>
      <c r="Q93" s="1">
        <v>800</v>
      </c>
      <c r="R93" s="1">
        <f t="shared" si="18"/>
        <v>800</v>
      </c>
      <c r="S93" s="1">
        <v>1.5</v>
      </c>
      <c r="U93" s="1">
        <f t="shared" si="19"/>
        <v>517</v>
      </c>
      <c r="V93" s="7">
        <f t="shared" si="20"/>
        <v>1.5473887814313345</v>
      </c>
      <c r="W93" s="7">
        <f t="shared" si="21"/>
        <v>564.79690522243709</v>
      </c>
      <c r="X93" s="7">
        <f t="shared" si="22"/>
        <v>0.70599613152804641</v>
      </c>
      <c r="AA93" s="8">
        <f t="shared" si="23"/>
        <v>44927</v>
      </c>
      <c r="AB93" s="8">
        <f t="shared" si="24"/>
        <v>45291</v>
      </c>
      <c r="AC93" s="1">
        <v>17</v>
      </c>
      <c r="AD93" s="1">
        <f t="shared" si="25"/>
        <v>0</v>
      </c>
      <c r="AE93" s="1">
        <f t="shared" si="26"/>
        <v>273</v>
      </c>
      <c r="AF93" s="1">
        <f t="shared" si="27"/>
        <v>0</v>
      </c>
      <c r="AG93" s="1">
        <f t="shared" si="28"/>
        <v>0</v>
      </c>
      <c r="AH93" s="1">
        <f t="shared" si="29"/>
        <v>0</v>
      </c>
      <c r="AI93" s="5">
        <f t="shared" si="30"/>
        <v>0.74794520547945209</v>
      </c>
      <c r="AJ93" s="5">
        <f t="shared" si="31"/>
        <v>0.52804642166344296</v>
      </c>
      <c r="AK93" s="5">
        <f t="shared" si="32"/>
        <v>8.9767891682785308</v>
      </c>
      <c r="AL93" s="5">
        <f t="shared" si="33"/>
        <v>13.465183752417797</v>
      </c>
      <c r="AM93" s="5">
        <f t="shared" si="34"/>
        <v>0</v>
      </c>
      <c r="AN93" s="5">
        <f t="shared" si="35"/>
        <v>13.465183752417797</v>
      </c>
      <c r="AO93" s="1" t="s">
        <v>122</v>
      </c>
    </row>
    <row r="94" spans="1:41" x14ac:dyDescent="0.25">
      <c r="A94" s="1" t="s">
        <v>19</v>
      </c>
      <c r="B94" s="1" t="s">
        <v>25</v>
      </c>
      <c r="C94" s="1" t="s">
        <v>21</v>
      </c>
      <c r="D94" s="1" t="s">
        <v>26</v>
      </c>
      <c r="E94" s="1" t="s">
        <v>172</v>
      </c>
      <c r="F94" s="1" t="s">
        <v>181</v>
      </c>
      <c r="G94" s="1" t="s">
        <v>155</v>
      </c>
      <c r="H94" s="1" t="s">
        <v>230</v>
      </c>
      <c r="I94" s="1" t="s">
        <v>174</v>
      </c>
      <c r="J94" s="1" t="s">
        <v>101</v>
      </c>
      <c r="K94" s="1" t="s">
        <v>183</v>
      </c>
      <c r="L94" s="1">
        <v>2975135</v>
      </c>
      <c r="M94" s="1" t="s">
        <v>241</v>
      </c>
      <c r="N94" s="8">
        <f>DATE(2023,4,10)</f>
        <v>45026</v>
      </c>
      <c r="O94" s="8">
        <f>DATE(2023,6,15)</f>
        <v>45092</v>
      </c>
      <c r="P94" s="1">
        <v>160</v>
      </c>
      <c r="Q94" s="1">
        <v>200</v>
      </c>
      <c r="R94" s="1">
        <f t="shared" si="18"/>
        <v>160</v>
      </c>
      <c r="S94" s="1">
        <v>2.5</v>
      </c>
      <c r="U94" s="1">
        <f t="shared" si="19"/>
        <v>67</v>
      </c>
      <c r="V94" s="7">
        <f t="shared" si="20"/>
        <v>2.3880597014925371</v>
      </c>
      <c r="W94" s="7">
        <f t="shared" si="21"/>
        <v>160</v>
      </c>
      <c r="X94" s="7">
        <f t="shared" si="22"/>
        <v>0.2</v>
      </c>
      <c r="AA94" s="8">
        <f t="shared" si="23"/>
        <v>44927</v>
      </c>
      <c r="AB94" s="8">
        <f t="shared" si="24"/>
        <v>45291</v>
      </c>
      <c r="AC94" s="1">
        <v>2</v>
      </c>
      <c r="AD94" s="1">
        <f t="shared" si="25"/>
        <v>0</v>
      </c>
      <c r="AE94" s="1">
        <f t="shared" si="26"/>
        <v>0</v>
      </c>
      <c r="AF94" s="1">
        <f t="shared" si="27"/>
        <v>0</v>
      </c>
      <c r="AG94" s="1">
        <f t="shared" si="28"/>
        <v>67</v>
      </c>
      <c r="AH94" s="1">
        <f t="shared" si="29"/>
        <v>0</v>
      </c>
      <c r="AI94" s="5">
        <f t="shared" si="30"/>
        <v>1</v>
      </c>
      <c r="AJ94" s="5">
        <f t="shared" si="31"/>
        <v>0.2</v>
      </c>
      <c r="AK94" s="5">
        <f t="shared" si="32"/>
        <v>0.4</v>
      </c>
      <c r="AL94" s="5">
        <f t="shared" si="33"/>
        <v>1</v>
      </c>
      <c r="AM94" s="5">
        <f t="shared" si="34"/>
        <v>0</v>
      </c>
      <c r="AN94" s="5">
        <f t="shared" si="35"/>
        <v>1</v>
      </c>
      <c r="AO94" s="1" t="s">
        <v>111</v>
      </c>
    </row>
    <row r="95" spans="1:41" x14ac:dyDescent="0.25">
      <c r="A95" s="1" t="s">
        <v>19</v>
      </c>
      <c r="B95" s="1" t="s">
        <v>25</v>
      </c>
      <c r="C95" s="1" t="s">
        <v>21</v>
      </c>
      <c r="D95" s="1" t="s">
        <v>26</v>
      </c>
      <c r="E95" s="1" t="s">
        <v>96</v>
      </c>
      <c r="F95" s="1" t="s">
        <v>103</v>
      </c>
      <c r="G95" s="1" t="s">
        <v>114</v>
      </c>
      <c r="H95" s="1" t="s">
        <v>115</v>
      </c>
      <c r="I95" s="1" t="s">
        <v>100</v>
      </c>
      <c r="J95" s="1" t="s">
        <v>101</v>
      </c>
      <c r="K95" s="1" t="s">
        <v>175</v>
      </c>
      <c r="L95" s="1">
        <v>3014172</v>
      </c>
      <c r="M95" s="1" t="s">
        <v>242</v>
      </c>
      <c r="N95" s="8">
        <f>DATE(2023,7,17)</f>
        <v>45124</v>
      </c>
      <c r="O95" s="8">
        <f>DATE(2024,12,31)</f>
        <v>45657</v>
      </c>
      <c r="P95" s="1">
        <v>1020</v>
      </c>
      <c r="Q95" s="1">
        <v>800</v>
      </c>
      <c r="R95" s="1">
        <f t="shared" si="18"/>
        <v>800</v>
      </c>
      <c r="S95" s="1">
        <v>1</v>
      </c>
      <c r="U95" s="1">
        <f t="shared" si="19"/>
        <v>534</v>
      </c>
      <c r="V95" s="7">
        <f t="shared" si="20"/>
        <v>1.4981273408239701</v>
      </c>
      <c r="W95" s="7">
        <f t="shared" si="21"/>
        <v>546.81647940074913</v>
      </c>
      <c r="X95" s="7">
        <f t="shared" si="22"/>
        <v>0.68352059925093644</v>
      </c>
      <c r="AA95" s="8">
        <f t="shared" si="23"/>
        <v>44927</v>
      </c>
      <c r="AB95" s="8">
        <f t="shared" si="24"/>
        <v>45291</v>
      </c>
      <c r="AC95" s="1">
        <v>26</v>
      </c>
      <c r="AD95" s="1">
        <f t="shared" si="25"/>
        <v>0</v>
      </c>
      <c r="AE95" s="1">
        <f t="shared" si="26"/>
        <v>168</v>
      </c>
      <c r="AF95" s="1">
        <f t="shared" si="27"/>
        <v>0</v>
      </c>
      <c r="AG95" s="1">
        <f t="shared" si="28"/>
        <v>0</v>
      </c>
      <c r="AH95" s="1">
        <f t="shared" si="29"/>
        <v>0</v>
      </c>
      <c r="AI95" s="5">
        <f t="shared" si="30"/>
        <v>0.46027397260273972</v>
      </c>
      <c r="AJ95" s="5">
        <f t="shared" si="31"/>
        <v>0.31460674157303375</v>
      </c>
      <c r="AK95" s="5">
        <f t="shared" si="32"/>
        <v>8.1797752808988768</v>
      </c>
      <c r="AL95" s="5">
        <f t="shared" si="33"/>
        <v>8.1797752808988768</v>
      </c>
      <c r="AM95" s="5">
        <f t="shared" si="34"/>
        <v>0</v>
      </c>
      <c r="AN95" s="5">
        <f t="shared" si="35"/>
        <v>8.1797752808988768</v>
      </c>
      <c r="AO95" s="1" t="s">
        <v>102</v>
      </c>
    </row>
    <row r="96" spans="1:41" x14ac:dyDescent="0.25">
      <c r="A96" s="1" t="s">
        <v>19</v>
      </c>
      <c r="B96" s="1" t="s">
        <v>25</v>
      </c>
      <c r="C96" s="1" t="s">
        <v>21</v>
      </c>
      <c r="D96" s="1" t="s">
        <v>26</v>
      </c>
      <c r="E96" s="1" t="s">
        <v>172</v>
      </c>
      <c r="F96" s="1" t="s">
        <v>181</v>
      </c>
      <c r="G96" s="1" t="s">
        <v>155</v>
      </c>
      <c r="H96" s="1" t="s">
        <v>230</v>
      </c>
      <c r="I96" s="1" t="s">
        <v>174</v>
      </c>
      <c r="J96" s="1" t="s">
        <v>101</v>
      </c>
      <c r="K96" s="1" t="s">
        <v>183</v>
      </c>
      <c r="L96" s="1">
        <v>3069489</v>
      </c>
      <c r="M96" s="1" t="s">
        <v>243</v>
      </c>
      <c r="N96" s="8">
        <f>DATE(2023,10,1)</f>
        <v>45200</v>
      </c>
      <c r="O96" s="8">
        <f>DATE(2024,1,31)</f>
        <v>45322</v>
      </c>
      <c r="P96" s="1">
        <v>160</v>
      </c>
      <c r="Q96" s="1">
        <v>200</v>
      </c>
      <c r="R96" s="1">
        <f t="shared" si="18"/>
        <v>160</v>
      </c>
      <c r="S96" s="1">
        <v>2.5</v>
      </c>
      <c r="U96" s="1">
        <f t="shared" si="19"/>
        <v>123</v>
      </c>
      <c r="V96" s="7">
        <f t="shared" si="20"/>
        <v>1.3008130081300813</v>
      </c>
      <c r="W96" s="7">
        <f t="shared" si="21"/>
        <v>160</v>
      </c>
      <c r="X96" s="7">
        <f t="shared" si="22"/>
        <v>0.2</v>
      </c>
      <c r="AA96" s="8">
        <f t="shared" si="23"/>
        <v>44927</v>
      </c>
      <c r="AB96" s="8">
        <f t="shared" si="24"/>
        <v>45291</v>
      </c>
      <c r="AC96" s="1">
        <v>102</v>
      </c>
      <c r="AD96" s="1">
        <f t="shared" si="25"/>
        <v>0</v>
      </c>
      <c r="AE96" s="1">
        <f t="shared" si="26"/>
        <v>92</v>
      </c>
      <c r="AF96" s="1">
        <f t="shared" si="27"/>
        <v>0</v>
      </c>
      <c r="AG96" s="1">
        <f t="shared" si="28"/>
        <v>0</v>
      </c>
      <c r="AH96" s="1">
        <f t="shared" si="29"/>
        <v>0</v>
      </c>
      <c r="AI96" s="5">
        <f t="shared" si="30"/>
        <v>0.74796747967479671</v>
      </c>
      <c r="AJ96" s="5">
        <f t="shared" si="31"/>
        <v>0.14959349593495935</v>
      </c>
      <c r="AK96" s="5">
        <f t="shared" si="32"/>
        <v>15.258536585365855</v>
      </c>
      <c r="AL96" s="5">
        <f t="shared" si="33"/>
        <v>38.146341463414636</v>
      </c>
      <c r="AM96" s="5">
        <f t="shared" si="34"/>
        <v>0</v>
      </c>
      <c r="AN96" s="5">
        <f t="shared" si="35"/>
        <v>38.146341463414636</v>
      </c>
      <c r="AO96" s="1" t="s">
        <v>111</v>
      </c>
    </row>
    <row r="97" spans="1:41" x14ac:dyDescent="0.25">
      <c r="A97" s="1" t="s">
        <v>19</v>
      </c>
      <c r="B97" s="1" t="s">
        <v>27</v>
      </c>
      <c r="C97" s="1" t="s">
        <v>21</v>
      </c>
      <c r="D97" s="1" t="s">
        <v>28</v>
      </c>
      <c r="E97" s="1" t="s">
        <v>96</v>
      </c>
      <c r="F97" s="1" t="s">
        <v>103</v>
      </c>
      <c r="G97" s="1" t="s">
        <v>114</v>
      </c>
      <c r="H97" s="1" t="s">
        <v>214</v>
      </c>
      <c r="I97" s="1" t="s">
        <v>100</v>
      </c>
      <c r="J97" s="1" t="s">
        <v>101</v>
      </c>
      <c r="K97" s="1" t="s">
        <v>116</v>
      </c>
      <c r="L97" s="1">
        <v>1780500</v>
      </c>
      <c r="M97" s="1" t="s">
        <v>244</v>
      </c>
      <c r="N97" s="8">
        <f>DATE(2013,4,1)</f>
        <v>41365</v>
      </c>
      <c r="O97" s="8">
        <f>DATE(2015,12,23)</f>
        <v>42361</v>
      </c>
      <c r="P97" s="1">
        <v>3533</v>
      </c>
      <c r="Q97" s="1">
        <v>800</v>
      </c>
      <c r="R97" s="1">
        <f t="shared" si="18"/>
        <v>3000</v>
      </c>
      <c r="S97" s="1">
        <v>1.5</v>
      </c>
      <c r="U97" s="1">
        <f t="shared" si="19"/>
        <v>997</v>
      </c>
      <c r="V97" s="7">
        <f t="shared" si="20"/>
        <v>3.009027081243731</v>
      </c>
      <c r="W97" s="7">
        <f t="shared" si="21"/>
        <v>1098.2948846539618</v>
      </c>
      <c r="X97" s="7">
        <f t="shared" si="22"/>
        <v>1.3728686058174524</v>
      </c>
      <c r="AA97" s="8">
        <f t="shared" si="23"/>
        <v>44927</v>
      </c>
      <c r="AB97" s="8">
        <f t="shared" si="24"/>
        <v>45291</v>
      </c>
      <c r="AC97" s="1">
        <v>0</v>
      </c>
      <c r="AD97" s="1">
        <f t="shared" si="25"/>
        <v>0</v>
      </c>
      <c r="AE97" s="1">
        <f t="shared" si="26"/>
        <v>0</v>
      </c>
      <c r="AF97" s="1">
        <f t="shared" si="27"/>
        <v>0</v>
      </c>
      <c r="AG97" s="1">
        <f t="shared" si="28"/>
        <v>0</v>
      </c>
      <c r="AH97" s="1">
        <f t="shared" si="29"/>
        <v>182.5</v>
      </c>
      <c r="AI97" s="5">
        <f t="shared" si="30"/>
        <v>0.5</v>
      </c>
      <c r="AJ97" s="5">
        <f t="shared" si="31"/>
        <v>0.6864343029087262</v>
      </c>
      <c r="AK97" s="5">
        <f t="shared" si="32"/>
        <v>0</v>
      </c>
      <c r="AL97" s="5">
        <f t="shared" si="33"/>
        <v>0</v>
      </c>
      <c r="AM97" s="5">
        <f t="shared" si="34"/>
        <v>0</v>
      </c>
      <c r="AN97" s="5">
        <f t="shared" si="35"/>
        <v>0</v>
      </c>
      <c r="AO97" s="1" t="s">
        <v>102</v>
      </c>
    </row>
    <row r="98" spans="1:41" x14ac:dyDescent="0.25">
      <c r="A98" s="1" t="s">
        <v>19</v>
      </c>
      <c r="B98" s="1" t="s">
        <v>27</v>
      </c>
      <c r="C98" s="1" t="s">
        <v>21</v>
      </c>
      <c r="D98" s="1" t="s">
        <v>28</v>
      </c>
      <c r="E98" s="1" t="s">
        <v>96</v>
      </c>
      <c r="F98" s="1" t="s">
        <v>103</v>
      </c>
      <c r="G98" s="1" t="s">
        <v>114</v>
      </c>
      <c r="H98" s="1" t="s">
        <v>214</v>
      </c>
      <c r="I98" s="1" t="s">
        <v>100</v>
      </c>
      <c r="J98" s="1" t="s">
        <v>101</v>
      </c>
      <c r="K98" s="1" t="s">
        <v>116</v>
      </c>
      <c r="L98" s="1">
        <v>2025735</v>
      </c>
      <c r="M98" s="1" t="s">
        <v>245</v>
      </c>
      <c r="N98" s="8">
        <f>DATE(2016,4,27)</f>
        <v>42487</v>
      </c>
      <c r="O98" s="8">
        <f>DATE(2019,1,31)</f>
        <v>43496</v>
      </c>
      <c r="P98" s="1">
        <v>3880</v>
      </c>
      <c r="Q98" s="1">
        <v>800</v>
      </c>
      <c r="R98" s="1">
        <f t="shared" si="18"/>
        <v>3000</v>
      </c>
      <c r="S98" s="1">
        <v>1.5</v>
      </c>
      <c r="U98" s="1">
        <f t="shared" si="19"/>
        <v>1010</v>
      </c>
      <c r="V98" s="7">
        <f t="shared" si="20"/>
        <v>2.9702970297029703</v>
      </c>
      <c r="W98" s="7">
        <f t="shared" si="21"/>
        <v>1084.1584158415842</v>
      </c>
      <c r="X98" s="7">
        <f t="shared" si="22"/>
        <v>1.3551980198019802</v>
      </c>
      <c r="AA98" s="8">
        <f t="shared" si="23"/>
        <v>44927</v>
      </c>
      <c r="AB98" s="8">
        <f t="shared" si="24"/>
        <v>45291</v>
      </c>
      <c r="AC98" s="1">
        <v>1</v>
      </c>
      <c r="AD98" s="1">
        <f t="shared" si="25"/>
        <v>0</v>
      </c>
      <c r="AE98" s="1">
        <f t="shared" si="26"/>
        <v>0</v>
      </c>
      <c r="AF98" s="1">
        <f t="shared" si="27"/>
        <v>0</v>
      </c>
      <c r="AG98" s="1">
        <f t="shared" si="28"/>
        <v>0</v>
      </c>
      <c r="AH98" s="1">
        <f t="shared" si="29"/>
        <v>182.5</v>
      </c>
      <c r="AI98" s="5">
        <f t="shared" si="30"/>
        <v>0.5</v>
      </c>
      <c r="AJ98" s="5">
        <f t="shared" si="31"/>
        <v>0.67759900990099009</v>
      </c>
      <c r="AK98" s="5">
        <f t="shared" si="32"/>
        <v>0</v>
      </c>
      <c r="AL98" s="5">
        <f t="shared" si="33"/>
        <v>0</v>
      </c>
      <c r="AM98" s="5">
        <f t="shared" si="34"/>
        <v>0</v>
      </c>
      <c r="AN98" s="5">
        <f t="shared" si="35"/>
        <v>0</v>
      </c>
      <c r="AO98" s="1" t="s">
        <v>102</v>
      </c>
    </row>
    <row r="99" spans="1:41" x14ac:dyDescent="0.25">
      <c r="A99" s="1" t="s">
        <v>19</v>
      </c>
      <c r="B99" s="1" t="s">
        <v>27</v>
      </c>
      <c r="C99" s="1" t="s">
        <v>21</v>
      </c>
      <c r="D99" s="1" t="s">
        <v>28</v>
      </c>
      <c r="E99" s="1" t="s">
        <v>96</v>
      </c>
      <c r="F99" s="1" t="s">
        <v>103</v>
      </c>
      <c r="G99" s="1" t="s">
        <v>114</v>
      </c>
      <c r="H99" s="1" t="s">
        <v>214</v>
      </c>
      <c r="I99" s="1" t="s">
        <v>100</v>
      </c>
      <c r="J99" s="1" t="s">
        <v>101</v>
      </c>
      <c r="K99" s="1" t="s">
        <v>116</v>
      </c>
      <c r="L99" s="1">
        <v>2145962</v>
      </c>
      <c r="M99" s="1" t="s">
        <v>246</v>
      </c>
      <c r="N99" s="8">
        <f>DATE(2017,3,8)</f>
        <v>42802</v>
      </c>
      <c r="O99" s="8">
        <f>DATE(2019,12,30)</f>
        <v>43829</v>
      </c>
      <c r="P99" s="1">
        <v>3223</v>
      </c>
      <c r="Q99" s="1">
        <v>800</v>
      </c>
      <c r="R99" s="1">
        <f t="shared" si="18"/>
        <v>3000</v>
      </c>
      <c r="S99" s="1">
        <v>1.5</v>
      </c>
      <c r="U99" s="1">
        <f t="shared" si="19"/>
        <v>1028</v>
      </c>
      <c r="V99" s="7">
        <f t="shared" si="20"/>
        <v>2.9182879377431905</v>
      </c>
      <c r="W99" s="7">
        <f t="shared" si="21"/>
        <v>1065.1750972762645</v>
      </c>
      <c r="X99" s="7">
        <f t="shared" si="22"/>
        <v>1.3314688715953307</v>
      </c>
      <c r="AA99" s="8">
        <f t="shared" si="23"/>
        <v>44927</v>
      </c>
      <c r="AB99" s="8">
        <f t="shared" si="24"/>
        <v>45291</v>
      </c>
      <c r="AC99" s="1">
        <v>1</v>
      </c>
      <c r="AD99" s="1">
        <f t="shared" si="25"/>
        <v>0</v>
      </c>
      <c r="AE99" s="1">
        <f t="shared" si="26"/>
        <v>0</v>
      </c>
      <c r="AF99" s="1">
        <f t="shared" si="27"/>
        <v>0</v>
      </c>
      <c r="AG99" s="1">
        <f t="shared" si="28"/>
        <v>0</v>
      </c>
      <c r="AH99" s="1">
        <f t="shared" si="29"/>
        <v>182.5</v>
      </c>
      <c r="AI99" s="5">
        <f t="shared" si="30"/>
        <v>0.5</v>
      </c>
      <c r="AJ99" s="5">
        <f t="shared" si="31"/>
        <v>0.66573443579766534</v>
      </c>
      <c r="AK99" s="5">
        <f t="shared" si="32"/>
        <v>0</v>
      </c>
      <c r="AL99" s="5">
        <f t="shared" si="33"/>
        <v>0</v>
      </c>
      <c r="AM99" s="5">
        <f t="shared" si="34"/>
        <v>0</v>
      </c>
      <c r="AN99" s="5">
        <f t="shared" si="35"/>
        <v>0</v>
      </c>
      <c r="AO99" s="1" t="s">
        <v>102</v>
      </c>
    </row>
    <row r="100" spans="1:41" x14ac:dyDescent="0.25">
      <c r="A100" s="1" t="s">
        <v>19</v>
      </c>
      <c r="B100" s="1" t="s">
        <v>27</v>
      </c>
      <c r="C100" s="1" t="s">
        <v>21</v>
      </c>
      <c r="D100" s="1" t="s">
        <v>28</v>
      </c>
      <c r="E100" s="1" t="s">
        <v>96</v>
      </c>
      <c r="F100" s="1" t="s">
        <v>103</v>
      </c>
      <c r="G100" s="1" t="s">
        <v>114</v>
      </c>
      <c r="H100" s="1" t="s">
        <v>247</v>
      </c>
      <c r="I100" s="1" t="s">
        <v>162</v>
      </c>
      <c r="J100" s="1" t="s">
        <v>101</v>
      </c>
      <c r="K100" s="1" t="s">
        <v>116</v>
      </c>
      <c r="L100" s="1">
        <v>2145972</v>
      </c>
      <c r="M100" s="1" t="s">
        <v>248</v>
      </c>
      <c r="N100" s="8">
        <f>DATE(2017,3,8)</f>
        <v>42802</v>
      </c>
      <c r="O100" s="8">
        <f>DATE(2019,12,30)</f>
        <v>43829</v>
      </c>
      <c r="P100" s="1">
        <v>3602</v>
      </c>
      <c r="Q100" s="1">
        <v>1200</v>
      </c>
      <c r="R100" s="1">
        <f t="shared" si="18"/>
        <v>3200</v>
      </c>
      <c r="S100" s="1">
        <v>1.5</v>
      </c>
      <c r="U100" s="1">
        <f t="shared" si="19"/>
        <v>1028</v>
      </c>
      <c r="V100" s="7">
        <f t="shared" si="20"/>
        <v>3.1128404669260701</v>
      </c>
      <c r="W100" s="7">
        <f t="shared" si="21"/>
        <v>1136.1867704280155</v>
      </c>
      <c r="X100" s="7">
        <f t="shared" si="22"/>
        <v>1.4202334630350193</v>
      </c>
      <c r="AA100" s="8">
        <f t="shared" si="23"/>
        <v>44927</v>
      </c>
      <c r="AB100" s="8">
        <f t="shared" si="24"/>
        <v>45291</v>
      </c>
      <c r="AC100" s="1">
        <v>1</v>
      </c>
      <c r="AD100" s="1">
        <f t="shared" si="25"/>
        <v>0</v>
      </c>
      <c r="AE100" s="1">
        <f t="shared" si="26"/>
        <v>0</v>
      </c>
      <c r="AF100" s="1">
        <f t="shared" si="27"/>
        <v>0</v>
      </c>
      <c r="AG100" s="1">
        <f t="shared" si="28"/>
        <v>0</v>
      </c>
      <c r="AH100" s="1">
        <f t="shared" si="29"/>
        <v>182.5</v>
      </c>
      <c r="AI100" s="5">
        <f t="shared" si="30"/>
        <v>0.5</v>
      </c>
      <c r="AJ100" s="5">
        <f t="shared" si="31"/>
        <v>0.71011673151750965</v>
      </c>
      <c r="AK100" s="5">
        <f t="shared" si="32"/>
        <v>0</v>
      </c>
      <c r="AL100" s="5">
        <f t="shared" si="33"/>
        <v>0</v>
      </c>
      <c r="AM100" s="5">
        <f t="shared" si="34"/>
        <v>0</v>
      </c>
      <c r="AN100" s="5">
        <f t="shared" si="35"/>
        <v>0</v>
      </c>
      <c r="AO100" s="1" t="s">
        <v>102</v>
      </c>
    </row>
    <row r="101" spans="1:41" x14ac:dyDescent="0.25">
      <c r="A101" s="1" t="s">
        <v>19</v>
      </c>
      <c r="B101" s="1" t="s">
        <v>27</v>
      </c>
      <c r="C101" s="1" t="s">
        <v>21</v>
      </c>
      <c r="D101" s="1" t="s">
        <v>28</v>
      </c>
      <c r="E101" s="1" t="s">
        <v>96</v>
      </c>
      <c r="F101" s="1" t="s">
        <v>103</v>
      </c>
      <c r="G101" s="1" t="s">
        <v>114</v>
      </c>
      <c r="H101" s="1" t="s">
        <v>249</v>
      </c>
      <c r="I101" s="1" t="s">
        <v>162</v>
      </c>
      <c r="J101" s="1" t="s">
        <v>101</v>
      </c>
      <c r="K101" s="1" t="s">
        <v>175</v>
      </c>
      <c r="L101" s="1">
        <v>2479846</v>
      </c>
      <c r="M101" s="1" t="s">
        <v>250</v>
      </c>
      <c r="N101" s="8">
        <f t="shared" ref="N101:N106" si="36">DATE(2018,2,19)</f>
        <v>43150</v>
      </c>
      <c r="O101" s="8">
        <f>DATE(2019,8,30)</f>
        <v>43707</v>
      </c>
      <c r="P101" s="1">
        <v>1200</v>
      </c>
      <c r="Q101" s="1">
        <v>1000</v>
      </c>
      <c r="R101" s="1">
        <f t="shared" si="18"/>
        <v>1000</v>
      </c>
      <c r="S101" s="1">
        <v>1.5</v>
      </c>
      <c r="U101" s="1">
        <f t="shared" si="19"/>
        <v>558</v>
      </c>
      <c r="V101" s="7">
        <f t="shared" si="20"/>
        <v>1.7921146953405018</v>
      </c>
      <c r="W101" s="7">
        <f t="shared" si="21"/>
        <v>654.12186379928312</v>
      </c>
      <c r="X101" s="7">
        <f t="shared" si="22"/>
        <v>0.81765232974910385</v>
      </c>
      <c r="AA101" s="8">
        <f t="shared" si="23"/>
        <v>44927</v>
      </c>
      <c r="AB101" s="8">
        <f t="shared" si="24"/>
        <v>45291</v>
      </c>
      <c r="AC101" s="1">
        <v>1</v>
      </c>
      <c r="AD101" s="1">
        <f t="shared" si="25"/>
        <v>0</v>
      </c>
      <c r="AE101" s="1">
        <f t="shared" si="26"/>
        <v>0</v>
      </c>
      <c r="AF101" s="1">
        <f t="shared" si="27"/>
        <v>0</v>
      </c>
      <c r="AG101" s="1">
        <f t="shared" si="28"/>
        <v>0</v>
      </c>
      <c r="AH101" s="1">
        <f t="shared" si="29"/>
        <v>182.5</v>
      </c>
      <c r="AI101" s="5">
        <f t="shared" si="30"/>
        <v>0.5</v>
      </c>
      <c r="AJ101" s="5">
        <f t="shared" si="31"/>
        <v>0.40882616487455192</v>
      </c>
      <c r="AK101" s="5">
        <f t="shared" si="32"/>
        <v>0</v>
      </c>
      <c r="AL101" s="5">
        <f t="shared" si="33"/>
        <v>0</v>
      </c>
      <c r="AM101" s="5">
        <f t="shared" si="34"/>
        <v>0</v>
      </c>
      <c r="AN101" s="5">
        <f t="shared" si="35"/>
        <v>0</v>
      </c>
      <c r="AO101" s="1" t="s">
        <v>102</v>
      </c>
    </row>
    <row r="102" spans="1:41" x14ac:dyDescent="0.25">
      <c r="A102" s="1" t="s">
        <v>19</v>
      </c>
      <c r="B102" s="1" t="s">
        <v>27</v>
      </c>
      <c r="C102" s="1" t="s">
        <v>21</v>
      </c>
      <c r="D102" s="1" t="s">
        <v>28</v>
      </c>
      <c r="E102" s="1" t="s">
        <v>96</v>
      </c>
      <c r="F102" s="1" t="s">
        <v>103</v>
      </c>
      <c r="G102" s="1" t="s">
        <v>127</v>
      </c>
      <c r="H102" s="1" t="s">
        <v>251</v>
      </c>
      <c r="I102" s="1" t="s">
        <v>100</v>
      </c>
      <c r="J102" s="1" t="s">
        <v>101</v>
      </c>
      <c r="L102" s="1">
        <v>2486714</v>
      </c>
      <c r="M102" s="1" t="s">
        <v>252</v>
      </c>
      <c r="N102" s="8">
        <f t="shared" si="36"/>
        <v>43150</v>
      </c>
      <c r="O102" s="8">
        <f>DATE(2020,12,23)</f>
        <v>44188</v>
      </c>
      <c r="P102" s="1">
        <v>1980</v>
      </c>
      <c r="Q102" s="1">
        <v>1600</v>
      </c>
      <c r="R102" s="1">
        <f t="shared" si="18"/>
        <v>1600</v>
      </c>
      <c r="S102" s="1">
        <v>1</v>
      </c>
      <c r="U102" s="1">
        <f t="shared" si="19"/>
        <v>1039</v>
      </c>
      <c r="V102" s="7">
        <f t="shared" si="20"/>
        <v>1.5399422521655437</v>
      </c>
      <c r="W102" s="7">
        <f t="shared" si="21"/>
        <v>562.07892204042344</v>
      </c>
      <c r="X102" s="7">
        <f t="shared" si="22"/>
        <v>0.70259865255052933</v>
      </c>
      <c r="AA102" s="8">
        <f t="shared" si="23"/>
        <v>44927</v>
      </c>
      <c r="AB102" s="8">
        <f t="shared" si="24"/>
        <v>45291</v>
      </c>
      <c r="AC102" s="1">
        <v>2</v>
      </c>
      <c r="AD102" s="1">
        <f t="shared" si="25"/>
        <v>0</v>
      </c>
      <c r="AE102" s="1">
        <f t="shared" si="26"/>
        <v>0</v>
      </c>
      <c r="AF102" s="1">
        <f t="shared" si="27"/>
        <v>0</v>
      </c>
      <c r="AG102" s="1">
        <f t="shared" si="28"/>
        <v>0</v>
      </c>
      <c r="AH102" s="1">
        <f t="shared" si="29"/>
        <v>182.5</v>
      </c>
      <c r="AI102" s="5">
        <f t="shared" si="30"/>
        <v>0.5</v>
      </c>
      <c r="AJ102" s="5">
        <f t="shared" si="31"/>
        <v>0.35129932627526467</v>
      </c>
      <c r="AK102" s="5">
        <f t="shared" si="32"/>
        <v>0.35129932627526467</v>
      </c>
      <c r="AL102" s="5">
        <f t="shared" si="33"/>
        <v>0.35129932627526467</v>
      </c>
      <c r="AM102" s="5">
        <f t="shared" si="34"/>
        <v>0</v>
      </c>
      <c r="AN102" s="5">
        <f t="shared" si="35"/>
        <v>0.35129932627526467</v>
      </c>
      <c r="AO102" s="1" t="s">
        <v>102</v>
      </c>
    </row>
    <row r="103" spans="1:41" x14ac:dyDescent="0.25">
      <c r="A103" s="1" t="s">
        <v>19</v>
      </c>
      <c r="B103" s="1" t="s">
        <v>27</v>
      </c>
      <c r="C103" s="1" t="s">
        <v>21</v>
      </c>
      <c r="D103" s="1" t="s">
        <v>28</v>
      </c>
      <c r="E103" s="1" t="s">
        <v>96</v>
      </c>
      <c r="F103" s="1" t="s">
        <v>103</v>
      </c>
      <c r="G103" s="1" t="s">
        <v>114</v>
      </c>
      <c r="H103" s="1" t="s">
        <v>247</v>
      </c>
      <c r="I103" s="1" t="s">
        <v>162</v>
      </c>
      <c r="J103" s="1" t="s">
        <v>101</v>
      </c>
      <c r="K103" s="1" t="s">
        <v>116</v>
      </c>
      <c r="L103" s="1">
        <v>2486724</v>
      </c>
      <c r="M103" s="1" t="s">
        <v>253</v>
      </c>
      <c r="N103" s="8">
        <f t="shared" si="36"/>
        <v>43150</v>
      </c>
      <c r="O103" s="8">
        <f>DATE(2020,12,23)</f>
        <v>44188</v>
      </c>
      <c r="P103" s="1">
        <v>3602</v>
      </c>
      <c r="Q103" s="1">
        <v>1200</v>
      </c>
      <c r="R103" s="1">
        <f t="shared" si="18"/>
        <v>3200</v>
      </c>
      <c r="S103" s="1">
        <v>1.5</v>
      </c>
      <c r="U103" s="1">
        <f t="shared" si="19"/>
        <v>1039</v>
      </c>
      <c r="V103" s="7">
        <f t="shared" si="20"/>
        <v>3.0798845043310874</v>
      </c>
      <c r="W103" s="7">
        <f t="shared" si="21"/>
        <v>1124.1578440808469</v>
      </c>
      <c r="X103" s="7">
        <f t="shared" si="22"/>
        <v>1.4051973051010587</v>
      </c>
      <c r="AA103" s="8">
        <f t="shared" si="23"/>
        <v>44927</v>
      </c>
      <c r="AB103" s="8">
        <f t="shared" si="24"/>
        <v>45291</v>
      </c>
      <c r="AC103" s="1">
        <v>3</v>
      </c>
      <c r="AD103" s="1">
        <f t="shared" si="25"/>
        <v>0</v>
      </c>
      <c r="AE103" s="1">
        <f t="shared" si="26"/>
        <v>0</v>
      </c>
      <c r="AF103" s="1">
        <f t="shared" si="27"/>
        <v>0</v>
      </c>
      <c r="AG103" s="1">
        <f t="shared" si="28"/>
        <v>0</v>
      </c>
      <c r="AH103" s="1">
        <f t="shared" si="29"/>
        <v>182.5</v>
      </c>
      <c r="AI103" s="5">
        <f t="shared" si="30"/>
        <v>0.5</v>
      </c>
      <c r="AJ103" s="5">
        <f t="shared" si="31"/>
        <v>0.70259865255052933</v>
      </c>
      <c r="AK103" s="5">
        <f t="shared" si="32"/>
        <v>1.0538979788257941</v>
      </c>
      <c r="AL103" s="5">
        <f t="shared" si="33"/>
        <v>1.5808469682386912</v>
      </c>
      <c r="AM103" s="5">
        <f t="shared" si="34"/>
        <v>0</v>
      </c>
      <c r="AN103" s="5">
        <f t="shared" si="35"/>
        <v>1.5808469682386912</v>
      </c>
      <c r="AO103" s="1" t="s">
        <v>102</v>
      </c>
    </row>
    <row r="104" spans="1:41" x14ac:dyDescent="0.25">
      <c r="A104" s="1" t="s">
        <v>19</v>
      </c>
      <c r="B104" s="1" t="s">
        <v>27</v>
      </c>
      <c r="C104" s="1" t="s">
        <v>21</v>
      </c>
      <c r="D104" s="1" t="s">
        <v>28</v>
      </c>
      <c r="E104" s="1" t="s">
        <v>96</v>
      </c>
      <c r="F104" s="1" t="s">
        <v>103</v>
      </c>
      <c r="G104" s="1" t="s">
        <v>114</v>
      </c>
      <c r="H104" s="1" t="s">
        <v>254</v>
      </c>
      <c r="I104" s="1" t="s">
        <v>255</v>
      </c>
      <c r="J104" s="1" t="s">
        <v>101</v>
      </c>
      <c r="K104" s="1" t="s">
        <v>116</v>
      </c>
      <c r="L104" s="1">
        <v>2486725</v>
      </c>
      <c r="M104" s="1" t="s">
        <v>256</v>
      </c>
      <c r="N104" s="8">
        <f t="shared" si="36"/>
        <v>43150</v>
      </c>
      <c r="O104" s="8">
        <f>DATE(2020,12,23)</f>
        <v>44188</v>
      </c>
      <c r="P104" s="1">
        <v>3860</v>
      </c>
      <c r="Q104" s="1">
        <v>1200</v>
      </c>
      <c r="R104" s="1">
        <f t="shared" si="18"/>
        <v>3200</v>
      </c>
      <c r="S104" s="1">
        <v>2.5</v>
      </c>
      <c r="U104" s="1">
        <f t="shared" si="19"/>
        <v>1039</v>
      </c>
      <c r="V104" s="7">
        <f t="shared" si="20"/>
        <v>3.0798845043310874</v>
      </c>
      <c r="W104" s="7">
        <f t="shared" si="21"/>
        <v>1124.1578440808469</v>
      </c>
      <c r="X104" s="7">
        <f t="shared" si="22"/>
        <v>1.4051973051010587</v>
      </c>
      <c r="AA104" s="8">
        <f t="shared" si="23"/>
        <v>44927</v>
      </c>
      <c r="AB104" s="8">
        <f t="shared" si="24"/>
        <v>45291</v>
      </c>
      <c r="AC104" s="1">
        <v>1</v>
      </c>
      <c r="AD104" s="1">
        <f t="shared" si="25"/>
        <v>0</v>
      </c>
      <c r="AE104" s="1">
        <f t="shared" si="26"/>
        <v>0</v>
      </c>
      <c r="AF104" s="1">
        <f t="shared" si="27"/>
        <v>0</v>
      </c>
      <c r="AG104" s="1">
        <f t="shared" si="28"/>
        <v>0</v>
      </c>
      <c r="AH104" s="1">
        <f t="shared" si="29"/>
        <v>182.5</v>
      </c>
      <c r="AI104" s="5">
        <f t="shared" si="30"/>
        <v>0.5</v>
      </c>
      <c r="AJ104" s="5">
        <f t="shared" si="31"/>
        <v>0.70259865255052933</v>
      </c>
      <c r="AK104" s="5">
        <f t="shared" si="32"/>
        <v>0.35129932627526467</v>
      </c>
      <c r="AL104" s="5">
        <f t="shared" si="33"/>
        <v>0.87824831568816164</v>
      </c>
      <c r="AM104" s="5">
        <f t="shared" si="34"/>
        <v>0</v>
      </c>
      <c r="AN104" s="5">
        <f t="shared" si="35"/>
        <v>0.87824831568816164</v>
      </c>
      <c r="AO104" s="1" t="s">
        <v>102</v>
      </c>
    </row>
    <row r="105" spans="1:41" x14ac:dyDescent="0.25">
      <c r="A105" s="1" t="s">
        <v>19</v>
      </c>
      <c r="B105" s="1" t="s">
        <v>27</v>
      </c>
      <c r="C105" s="1" t="s">
        <v>21</v>
      </c>
      <c r="D105" s="1" t="s">
        <v>28</v>
      </c>
      <c r="E105" s="1" t="s">
        <v>96</v>
      </c>
      <c r="F105" s="1" t="s">
        <v>103</v>
      </c>
      <c r="G105" s="1" t="s">
        <v>114</v>
      </c>
      <c r="H105" s="1" t="s">
        <v>257</v>
      </c>
      <c r="I105" s="1" t="s">
        <v>157</v>
      </c>
      <c r="J105" s="1" t="s">
        <v>101</v>
      </c>
      <c r="K105" s="1" t="s">
        <v>116</v>
      </c>
      <c r="L105" s="1">
        <v>2486729</v>
      </c>
      <c r="M105" s="1" t="s">
        <v>258</v>
      </c>
      <c r="N105" s="8">
        <f t="shared" si="36"/>
        <v>43150</v>
      </c>
      <c r="O105" s="8">
        <f>DATE(2020,12,23)</f>
        <v>44188</v>
      </c>
      <c r="P105" s="1">
        <v>3427</v>
      </c>
      <c r="Q105" s="1">
        <v>1200</v>
      </c>
      <c r="R105" s="1">
        <f t="shared" si="18"/>
        <v>3200</v>
      </c>
      <c r="S105" s="1">
        <v>2.5</v>
      </c>
      <c r="U105" s="1">
        <f t="shared" si="19"/>
        <v>1039</v>
      </c>
      <c r="V105" s="7">
        <f t="shared" si="20"/>
        <v>3.0798845043310874</v>
      </c>
      <c r="W105" s="7">
        <f t="shared" si="21"/>
        <v>1124.1578440808469</v>
      </c>
      <c r="X105" s="7">
        <f t="shared" si="22"/>
        <v>1.4051973051010587</v>
      </c>
      <c r="AA105" s="8">
        <f t="shared" si="23"/>
        <v>44927</v>
      </c>
      <c r="AB105" s="8">
        <f t="shared" si="24"/>
        <v>45291</v>
      </c>
      <c r="AC105" s="1">
        <v>1</v>
      </c>
      <c r="AD105" s="1">
        <f t="shared" si="25"/>
        <v>0</v>
      </c>
      <c r="AE105" s="1">
        <f t="shared" si="26"/>
        <v>0</v>
      </c>
      <c r="AF105" s="1">
        <f t="shared" si="27"/>
        <v>0</v>
      </c>
      <c r="AG105" s="1">
        <f t="shared" si="28"/>
        <v>0</v>
      </c>
      <c r="AH105" s="1">
        <f t="shared" si="29"/>
        <v>182.5</v>
      </c>
      <c r="AI105" s="5">
        <f t="shared" si="30"/>
        <v>0.5</v>
      </c>
      <c r="AJ105" s="5">
        <f t="shared" si="31"/>
        <v>0.70259865255052933</v>
      </c>
      <c r="AK105" s="5">
        <f t="shared" si="32"/>
        <v>0.35129932627526467</v>
      </c>
      <c r="AL105" s="5">
        <f t="shared" si="33"/>
        <v>0.87824831568816164</v>
      </c>
      <c r="AM105" s="5">
        <f t="shared" si="34"/>
        <v>0</v>
      </c>
      <c r="AN105" s="5">
        <f t="shared" si="35"/>
        <v>0.87824831568816164</v>
      </c>
      <c r="AO105" s="1" t="s">
        <v>102</v>
      </c>
    </row>
    <row r="106" spans="1:41" x14ac:dyDescent="0.25">
      <c r="A106" s="1" t="s">
        <v>19</v>
      </c>
      <c r="B106" s="1" t="s">
        <v>27</v>
      </c>
      <c r="C106" s="1" t="s">
        <v>21</v>
      </c>
      <c r="D106" s="1" t="s">
        <v>28</v>
      </c>
      <c r="E106" s="1" t="s">
        <v>96</v>
      </c>
      <c r="F106" s="1" t="s">
        <v>103</v>
      </c>
      <c r="G106" s="1" t="s">
        <v>114</v>
      </c>
      <c r="H106" s="1" t="s">
        <v>115</v>
      </c>
      <c r="I106" s="1" t="s">
        <v>100</v>
      </c>
      <c r="J106" s="1" t="s">
        <v>101</v>
      </c>
      <c r="K106" s="1" t="s">
        <v>116</v>
      </c>
      <c r="L106" s="1">
        <v>2568601</v>
      </c>
      <c r="M106" s="1" t="s">
        <v>259</v>
      </c>
      <c r="N106" s="8">
        <f t="shared" si="36"/>
        <v>43150</v>
      </c>
      <c r="O106" s="8">
        <f>DATE(2020,12,30)</f>
        <v>44195</v>
      </c>
      <c r="P106" s="1">
        <v>3534</v>
      </c>
      <c r="Q106" s="1">
        <v>800</v>
      </c>
      <c r="R106" s="1">
        <f t="shared" si="18"/>
        <v>3000</v>
      </c>
      <c r="S106" s="1">
        <v>1.5</v>
      </c>
      <c r="U106" s="1">
        <f t="shared" si="19"/>
        <v>1046</v>
      </c>
      <c r="V106" s="7">
        <f t="shared" si="20"/>
        <v>2.8680688336520075</v>
      </c>
      <c r="W106" s="7">
        <f t="shared" si="21"/>
        <v>1046.8451242829826</v>
      </c>
      <c r="X106" s="7">
        <f t="shared" si="22"/>
        <v>1.3085564053537282</v>
      </c>
      <c r="AA106" s="8">
        <f t="shared" si="23"/>
        <v>44927</v>
      </c>
      <c r="AB106" s="8">
        <f t="shared" si="24"/>
        <v>45291</v>
      </c>
      <c r="AC106" s="1">
        <v>2</v>
      </c>
      <c r="AD106" s="1">
        <f t="shared" si="25"/>
        <v>0</v>
      </c>
      <c r="AE106" s="1">
        <f t="shared" si="26"/>
        <v>0</v>
      </c>
      <c r="AF106" s="1">
        <f t="shared" si="27"/>
        <v>0</v>
      </c>
      <c r="AG106" s="1">
        <f t="shared" si="28"/>
        <v>0</v>
      </c>
      <c r="AH106" s="1">
        <f t="shared" si="29"/>
        <v>182.5</v>
      </c>
      <c r="AI106" s="5">
        <f t="shared" si="30"/>
        <v>0.5</v>
      </c>
      <c r="AJ106" s="5">
        <f t="shared" si="31"/>
        <v>0.6542782026768641</v>
      </c>
      <c r="AK106" s="5">
        <f t="shared" si="32"/>
        <v>0.6542782026768641</v>
      </c>
      <c r="AL106" s="5">
        <f t="shared" si="33"/>
        <v>0.98141730401529614</v>
      </c>
      <c r="AM106" s="5">
        <f t="shared" si="34"/>
        <v>0</v>
      </c>
      <c r="AN106" s="5">
        <f t="shared" si="35"/>
        <v>0.98141730401529614</v>
      </c>
      <c r="AO106" s="1" t="s">
        <v>102</v>
      </c>
    </row>
    <row r="107" spans="1:41" x14ac:dyDescent="0.25">
      <c r="A107" s="1" t="s">
        <v>19</v>
      </c>
      <c r="B107" s="1" t="s">
        <v>27</v>
      </c>
      <c r="C107" s="1" t="s">
        <v>21</v>
      </c>
      <c r="D107" s="1" t="s">
        <v>28</v>
      </c>
      <c r="E107" s="1" t="s">
        <v>96</v>
      </c>
      <c r="F107" s="1" t="s">
        <v>103</v>
      </c>
      <c r="G107" s="1" t="s">
        <v>114</v>
      </c>
      <c r="H107" s="1" t="s">
        <v>260</v>
      </c>
      <c r="I107" s="1" t="s">
        <v>100</v>
      </c>
      <c r="J107" s="1" t="s">
        <v>101</v>
      </c>
      <c r="K107" s="1" t="s">
        <v>175</v>
      </c>
      <c r="L107" s="1">
        <v>2541173</v>
      </c>
      <c r="M107" s="1" t="s">
        <v>261</v>
      </c>
      <c r="N107" s="8">
        <f>DATE(2018,8,1)</f>
        <v>43313</v>
      </c>
      <c r="O107" s="8">
        <f>DATE(2019,12,30)</f>
        <v>43829</v>
      </c>
      <c r="P107" s="1">
        <v>1120</v>
      </c>
      <c r="Q107" s="1">
        <v>800</v>
      </c>
      <c r="R107" s="1">
        <f t="shared" si="18"/>
        <v>800</v>
      </c>
      <c r="S107" s="1">
        <v>1</v>
      </c>
      <c r="U107" s="1">
        <f t="shared" si="19"/>
        <v>517</v>
      </c>
      <c r="V107" s="7">
        <f t="shared" si="20"/>
        <v>1.5473887814313345</v>
      </c>
      <c r="W107" s="7">
        <f t="shared" si="21"/>
        <v>564.79690522243709</v>
      </c>
      <c r="X107" s="7">
        <f t="shared" si="22"/>
        <v>0.70599613152804641</v>
      </c>
      <c r="AA107" s="8">
        <f t="shared" si="23"/>
        <v>44927</v>
      </c>
      <c r="AB107" s="8">
        <f t="shared" si="24"/>
        <v>45291</v>
      </c>
      <c r="AC107" s="1">
        <v>1</v>
      </c>
      <c r="AD107" s="1">
        <f t="shared" si="25"/>
        <v>0</v>
      </c>
      <c r="AE107" s="1">
        <f t="shared" si="26"/>
        <v>0</v>
      </c>
      <c r="AF107" s="1">
        <f t="shared" si="27"/>
        <v>0</v>
      </c>
      <c r="AG107" s="1">
        <f t="shared" si="28"/>
        <v>0</v>
      </c>
      <c r="AH107" s="1">
        <f t="shared" si="29"/>
        <v>182.5</v>
      </c>
      <c r="AI107" s="5">
        <f t="shared" si="30"/>
        <v>0.5</v>
      </c>
      <c r="AJ107" s="5">
        <f t="shared" si="31"/>
        <v>0.35299806576402321</v>
      </c>
      <c r="AK107" s="5">
        <f t="shared" si="32"/>
        <v>0</v>
      </c>
      <c r="AL107" s="5">
        <f t="shared" si="33"/>
        <v>0</v>
      </c>
      <c r="AM107" s="5">
        <f t="shared" si="34"/>
        <v>0</v>
      </c>
      <c r="AN107" s="5">
        <f t="shared" si="35"/>
        <v>0</v>
      </c>
      <c r="AO107" s="1" t="s">
        <v>102</v>
      </c>
    </row>
    <row r="108" spans="1:41" x14ac:dyDescent="0.25">
      <c r="A108" s="1" t="s">
        <v>19</v>
      </c>
      <c r="B108" s="1" t="s">
        <v>27</v>
      </c>
      <c r="C108" s="1" t="s">
        <v>21</v>
      </c>
      <c r="D108" s="1" t="s">
        <v>28</v>
      </c>
      <c r="E108" s="1" t="s">
        <v>96</v>
      </c>
      <c r="F108" s="1" t="s">
        <v>103</v>
      </c>
      <c r="G108" s="1" t="s">
        <v>114</v>
      </c>
      <c r="H108" s="1" t="s">
        <v>115</v>
      </c>
      <c r="I108" s="1" t="s">
        <v>100</v>
      </c>
      <c r="J108" s="1" t="s">
        <v>101</v>
      </c>
      <c r="K108" s="1" t="s">
        <v>116</v>
      </c>
      <c r="L108" s="1">
        <v>2588089</v>
      </c>
      <c r="M108" s="1" t="s">
        <v>262</v>
      </c>
      <c r="N108" s="8">
        <f t="shared" ref="N108:N113" si="37">DATE(2019,2,4)</f>
        <v>43500</v>
      </c>
      <c r="O108" s="8">
        <f>DATE(2021,12,31)</f>
        <v>44561</v>
      </c>
      <c r="P108" s="1">
        <v>3534</v>
      </c>
      <c r="Q108" s="1">
        <v>800</v>
      </c>
      <c r="R108" s="1">
        <f t="shared" si="18"/>
        <v>3000</v>
      </c>
      <c r="S108" s="1">
        <v>1.5</v>
      </c>
      <c r="U108" s="1">
        <f t="shared" si="19"/>
        <v>1062</v>
      </c>
      <c r="V108" s="7">
        <f t="shared" si="20"/>
        <v>2.8248587570621471</v>
      </c>
      <c r="W108" s="7">
        <f t="shared" si="21"/>
        <v>1031.0734463276838</v>
      </c>
      <c r="X108" s="7">
        <f t="shared" si="22"/>
        <v>1.2888418079096047</v>
      </c>
      <c r="AA108" s="8">
        <f t="shared" si="23"/>
        <v>44927</v>
      </c>
      <c r="AB108" s="8">
        <f t="shared" si="24"/>
        <v>45291</v>
      </c>
      <c r="AC108" s="1">
        <v>1</v>
      </c>
      <c r="AD108" s="1">
        <f t="shared" si="25"/>
        <v>0</v>
      </c>
      <c r="AE108" s="1">
        <f t="shared" si="26"/>
        <v>0</v>
      </c>
      <c r="AF108" s="1">
        <f t="shared" si="27"/>
        <v>0</v>
      </c>
      <c r="AG108" s="1">
        <f t="shared" si="28"/>
        <v>0</v>
      </c>
      <c r="AH108" s="1">
        <f t="shared" si="29"/>
        <v>182.5</v>
      </c>
      <c r="AI108" s="5">
        <f t="shared" si="30"/>
        <v>0.5</v>
      </c>
      <c r="AJ108" s="5">
        <f t="shared" si="31"/>
        <v>0.64442090395480234</v>
      </c>
      <c r="AK108" s="5">
        <f t="shared" si="32"/>
        <v>0.32221045197740117</v>
      </c>
      <c r="AL108" s="5">
        <f t="shared" si="33"/>
        <v>0.48331567796610175</v>
      </c>
      <c r="AM108" s="5">
        <f t="shared" si="34"/>
        <v>0</v>
      </c>
      <c r="AN108" s="5">
        <f t="shared" si="35"/>
        <v>0.48331567796610175</v>
      </c>
      <c r="AO108" s="1" t="s">
        <v>102</v>
      </c>
    </row>
    <row r="109" spans="1:41" x14ac:dyDescent="0.25">
      <c r="A109" s="1" t="s">
        <v>19</v>
      </c>
      <c r="B109" s="1" t="s">
        <v>27</v>
      </c>
      <c r="C109" s="1" t="s">
        <v>21</v>
      </c>
      <c r="D109" s="1" t="s">
        <v>28</v>
      </c>
      <c r="E109" s="1" t="s">
        <v>96</v>
      </c>
      <c r="F109" s="1" t="s">
        <v>103</v>
      </c>
      <c r="G109" s="1" t="s">
        <v>114</v>
      </c>
      <c r="H109" s="1" t="s">
        <v>254</v>
      </c>
      <c r="I109" s="1" t="s">
        <v>255</v>
      </c>
      <c r="J109" s="1" t="s">
        <v>101</v>
      </c>
      <c r="K109" s="1" t="s">
        <v>116</v>
      </c>
      <c r="L109" s="1">
        <v>2588090</v>
      </c>
      <c r="M109" s="1" t="s">
        <v>263</v>
      </c>
      <c r="N109" s="8">
        <f t="shared" si="37"/>
        <v>43500</v>
      </c>
      <c r="O109" s="8">
        <f>DATE(2021,12,31)</f>
        <v>44561</v>
      </c>
      <c r="P109" s="1">
        <v>3860</v>
      </c>
      <c r="Q109" s="1">
        <v>1200</v>
      </c>
      <c r="R109" s="1">
        <f t="shared" si="18"/>
        <v>3200</v>
      </c>
      <c r="S109" s="1">
        <v>2.5</v>
      </c>
      <c r="U109" s="1">
        <f t="shared" si="19"/>
        <v>1062</v>
      </c>
      <c r="V109" s="7">
        <f t="shared" si="20"/>
        <v>3.0131826741996233</v>
      </c>
      <c r="W109" s="7">
        <f t="shared" si="21"/>
        <v>1099.8116760828625</v>
      </c>
      <c r="X109" s="7">
        <f t="shared" si="22"/>
        <v>1.3747645951035781</v>
      </c>
      <c r="AA109" s="8">
        <f t="shared" si="23"/>
        <v>44927</v>
      </c>
      <c r="AB109" s="8">
        <f t="shared" si="24"/>
        <v>45291</v>
      </c>
      <c r="AC109" s="1">
        <v>1</v>
      </c>
      <c r="AD109" s="1">
        <f t="shared" si="25"/>
        <v>0</v>
      </c>
      <c r="AE109" s="1">
        <f t="shared" si="26"/>
        <v>0</v>
      </c>
      <c r="AF109" s="1">
        <f t="shared" si="27"/>
        <v>0</v>
      </c>
      <c r="AG109" s="1">
        <f t="shared" si="28"/>
        <v>0</v>
      </c>
      <c r="AH109" s="1">
        <f t="shared" si="29"/>
        <v>182.5</v>
      </c>
      <c r="AI109" s="5">
        <f t="shared" si="30"/>
        <v>0.5</v>
      </c>
      <c r="AJ109" s="5">
        <f t="shared" si="31"/>
        <v>0.68738229755178903</v>
      </c>
      <c r="AK109" s="5">
        <f t="shared" si="32"/>
        <v>0.34369114877589452</v>
      </c>
      <c r="AL109" s="5">
        <f t="shared" si="33"/>
        <v>0.85922787193973627</v>
      </c>
      <c r="AM109" s="5">
        <f t="shared" si="34"/>
        <v>0</v>
      </c>
      <c r="AN109" s="5">
        <f t="shared" si="35"/>
        <v>0.85922787193973627</v>
      </c>
      <c r="AO109" s="1" t="s">
        <v>102</v>
      </c>
    </row>
    <row r="110" spans="1:41" x14ac:dyDescent="0.25">
      <c r="A110" s="1" t="s">
        <v>19</v>
      </c>
      <c r="B110" s="1" t="s">
        <v>27</v>
      </c>
      <c r="C110" s="1" t="s">
        <v>21</v>
      </c>
      <c r="D110" s="1" t="s">
        <v>28</v>
      </c>
      <c r="E110" s="1" t="s">
        <v>96</v>
      </c>
      <c r="F110" s="1" t="s">
        <v>103</v>
      </c>
      <c r="G110" s="1" t="s">
        <v>114</v>
      </c>
      <c r="H110" s="1" t="s">
        <v>257</v>
      </c>
      <c r="I110" s="1" t="s">
        <v>157</v>
      </c>
      <c r="J110" s="1" t="s">
        <v>101</v>
      </c>
      <c r="K110" s="1" t="s">
        <v>116</v>
      </c>
      <c r="L110" s="1">
        <v>2588092</v>
      </c>
      <c r="M110" s="1" t="s">
        <v>264</v>
      </c>
      <c r="N110" s="8">
        <f t="shared" si="37"/>
        <v>43500</v>
      </c>
      <c r="O110" s="8">
        <f>DATE(2021,12,31)</f>
        <v>44561</v>
      </c>
      <c r="P110" s="1">
        <v>3427</v>
      </c>
      <c r="Q110" s="1">
        <v>1200</v>
      </c>
      <c r="R110" s="1">
        <f t="shared" si="18"/>
        <v>3200</v>
      </c>
      <c r="S110" s="1">
        <v>2.5</v>
      </c>
      <c r="U110" s="1">
        <f t="shared" si="19"/>
        <v>1062</v>
      </c>
      <c r="V110" s="7">
        <f t="shared" si="20"/>
        <v>3.0131826741996233</v>
      </c>
      <c r="W110" s="7">
        <f t="shared" si="21"/>
        <v>1099.8116760828625</v>
      </c>
      <c r="X110" s="7">
        <f t="shared" si="22"/>
        <v>1.3747645951035781</v>
      </c>
      <c r="AA110" s="8">
        <f t="shared" si="23"/>
        <v>44927</v>
      </c>
      <c r="AB110" s="8">
        <f t="shared" si="24"/>
        <v>45291</v>
      </c>
      <c r="AC110" s="1">
        <v>2</v>
      </c>
      <c r="AD110" s="1">
        <f t="shared" si="25"/>
        <v>0</v>
      </c>
      <c r="AE110" s="1">
        <f t="shared" si="26"/>
        <v>0</v>
      </c>
      <c r="AF110" s="1">
        <f t="shared" si="27"/>
        <v>0</v>
      </c>
      <c r="AG110" s="1">
        <f t="shared" si="28"/>
        <v>0</v>
      </c>
      <c r="AH110" s="1">
        <f t="shared" si="29"/>
        <v>182.5</v>
      </c>
      <c r="AI110" s="5">
        <f t="shared" si="30"/>
        <v>0.5</v>
      </c>
      <c r="AJ110" s="5">
        <f t="shared" si="31"/>
        <v>0.68738229755178903</v>
      </c>
      <c r="AK110" s="5">
        <f t="shared" si="32"/>
        <v>0.68738229755178903</v>
      </c>
      <c r="AL110" s="5">
        <f t="shared" si="33"/>
        <v>1.7184557438794725</v>
      </c>
      <c r="AM110" s="5">
        <f t="shared" si="34"/>
        <v>0</v>
      </c>
      <c r="AN110" s="5">
        <f t="shared" si="35"/>
        <v>1.7184557438794725</v>
      </c>
      <c r="AO110" s="1" t="s">
        <v>102</v>
      </c>
    </row>
    <row r="111" spans="1:41" x14ac:dyDescent="0.25">
      <c r="A111" s="1" t="s">
        <v>19</v>
      </c>
      <c r="B111" s="1" t="s">
        <v>27</v>
      </c>
      <c r="C111" s="1" t="s">
        <v>21</v>
      </c>
      <c r="D111" s="1" t="s">
        <v>28</v>
      </c>
      <c r="E111" s="1" t="s">
        <v>96</v>
      </c>
      <c r="F111" s="1" t="s">
        <v>103</v>
      </c>
      <c r="G111" s="1" t="s">
        <v>114</v>
      </c>
      <c r="H111" s="1" t="s">
        <v>249</v>
      </c>
      <c r="I111" s="1" t="s">
        <v>162</v>
      </c>
      <c r="J111" s="1" t="s">
        <v>101</v>
      </c>
      <c r="K111" s="1" t="s">
        <v>175</v>
      </c>
      <c r="L111" s="1">
        <v>2588095</v>
      </c>
      <c r="M111" s="1" t="s">
        <v>265</v>
      </c>
      <c r="N111" s="8">
        <f t="shared" si="37"/>
        <v>43500</v>
      </c>
      <c r="O111" s="8">
        <f>DATE(2020,7,31)</f>
        <v>44043</v>
      </c>
      <c r="P111" s="1">
        <v>1200</v>
      </c>
      <c r="Q111" s="1">
        <v>1000</v>
      </c>
      <c r="R111" s="1">
        <f t="shared" si="18"/>
        <v>1000</v>
      </c>
      <c r="S111" s="1">
        <v>1.5</v>
      </c>
      <c r="U111" s="1">
        <f t="shared" si="19"/>
        <v>544</v>
      </c>
      <c r="V111" s="7">
        <f t="shared" si="20"/>
        <v>1.838235294117647</v>
      </c>
      <c r="W111" s="7">
        <f t="shared" si="21"/>
        <v>670.9558823529411</v>
      </c>
      <c r="X111" s="7">
        <f t="shared" si="22"/>
        <v>0.83869485294117641</v>
      </c>
      <c r="AA111" s="8">
        <f t="shared" si="23"/>
        <v>44927</v>
      </c>
      <c r="AB111" s="8">
        <f t="shared" si="24"/>
        <v>45291</v>
      </c>
      <c r="AC111" s="1">
        <v>1</v>
      </c>
      <c r="AD111" s="1">
        <f t="shared" si="25"/>
        <v>0</v>
      </c>
      <c r="AE111" s="1">
        <f t="shared" si="26"/>
        <v>0</v>
      </c>
      <c r="AF111" s="1">
        <f t="shared" si="27"/>
        <v>0</v>
      </c>
      <c r="AG111" s="1">
        <f t="shared" si="28"/>
        <v>0</v>
      </c>
      <c r="AH111" s="1">
        <f t="shared" si="29"/>
        <v>182.5</v>
      </c>
      <c r="AI111" s="5">
        <f t="shared" si="30"/>
        <v>0.5</v>
      </c>
      <c r="AJ111" s="5">
        <f t="shared" si="31"/>
        <v>0.4193474264705882</v>
      </c>
      <c r="AK111" s="5">
        <f t="shared" si="32"/>
        <v>0.2096737132352941</v>
      </c>
      <c r="AL111" s="5">
        <f t="shared" si="33"/>
        <v>0.31451056985294112</v>
      </c>
      <c r="AM111" s="5">
        <f t="shared" si="34"/>
        <v>0</v>
      </c>
      <c r="AN111" s="5">
        <f t="shared" si="35"/>
        <v>0.31451056985294112</v>
      </c>
      <c r="AO111" s="1" t="s">
        <v>102</v>
      </c>
    </row>
    <row r="112" spans="1:41" x14ac:dyDescent="0.25">
      <c r="A112" s="1" t="s">
        <v>19</v>
      </c>
      <c r="B112" s="1" t="s">
        <v>27</v>
      </c>
      <c r="C112" s="1" t="s">
        <v>21</v>
      </c>
      <c r="D112" s="1" t="s">
        <v>28</v>
      </c>
      <c r="E112" s="1" t="s">
        <v>96</v>
      </c>
      <c r="F112" s="1" t="s">
        <v>103</v>
      </c>
      <c r="G112" s="1" t="s">
        <v>114</v>
      </c>
      <c r="H112" s="1" t="s">
        <v>260</v>
      </c>
      <c r="I112" s="1" t="s">
        <v>100</v>
      </c>
      <c r="J112" s="1" t="s">
        <v>101</v>
      </c>
      <c r="K112" s="1" t="s">
        <v>175</v>
      </c>
      <c r="L112" s="1">
        <v>2588096</v>
      </c>
      <c r="M112" s="1" t="s">
        <v>266</v>
      </c>
      <c r="N112" s="8">
        <f t="shared" si="37"/>
        <v>43500</v>
      </c>
      <c r="O112" s="8">
        <f>DATE(2020,7,31)</f>
        <v>44043</v>
      </c>
      <c r="P112" s="1">
        <v>1120</v>
      </c>
      <c r="Q112" s="1">
        <v>800</v>
      </c>
      <c r="R112" s="1">
        <f t="shared" si="18"/>
        <v>800</v>
      </c>
      <c r="S112" s="1">
        <v>1</v>
      </c>
      <c r="U112" s="1">
        <f t="shared" si="19"/>
        <v>544</v>
      </c>
      <c r="V112" s="7">
        <f t="shared" si="20"/>
        <v>1.4705882352941178</v>
      </c>
      <c r="W112" s="7">
        <f t="shared" si="21"/>
        <v>536.76470588235293</v>
      </c>
      <c r="X112" s="7">
        <f t="shared" si="22"/>
        <v>0.67095588235294112</v>
      </c>
      <c r="AA112" s="8">
        <f t="shared" si="23"/>
        <v>44927</v>
      </c>
      <c r="AB112" s="8">
        <f t="shared" si="24"/>
        <v>45291</v>
      </c>
      <c r="AC112" s="1">
        <v>1</v>
      </c>
      <c r="AD112" s="1">
        <f t="shared" si="25"/>
        <v>0</v>
      </c>
      <c r="AE112" s="1">
        <f t="shared" si="26"/>
        <v>0</v>
      </c>
      <c r="AF112" s="1">
        <f t="shared" si="27"/>
        <v>0</v>
      </c>
      <c r="AG112" s="1">
        <f t="shared" si="28"/>
        <v>0</v>
      </c>
      <c r="AH112" s="1">
        <f t="shared" si="29"/>
        <v>182.5</v>
      </c>
      <c r="AI112" s="5">
        <f t="shared" si="30"/>
        <v>0.5</v>
      </c>
      <c r="AJ112" s="5">
        <f t="shared" si="31"/>
        <v>0.33547794117647056</v>
      </c>
      <c r="AK112" s="5">
        <f t="shared" si="32"/>
        <v>0.16773897058823528</v>
      </c>
      <c r="AL112" s="5">
        <f t="shared" si="33"/>
        <v>0.16773897058823528</v>
      </c>
      <c r="AM112" s="5">
        <f t="shared" si="34"/>
        <v>0</v>
      </c>
      <c r="AN112" s="5">
        <f t="shared" si="35"/>
        <v>0.16773897058823528</v>
      </c>
      <c r="AO112" s="1" t="s">
        <v>102</v>
      </c>
    </row>
    <row r="113" spans="1:41" x14ac:dyDescent="0.25">
      <c r="A113" s="1" t="s">
        <v>19</v>
      </c>
      <c r="B113" s="1" t="s">
        <v>27</v>
      </c>
      <c r="C113" s="1" t="s">
        <v>21</v>
      </c>
      <c r="D113" s="1" t="s">
        <v>28</v>
      </c>
      <c r="E113" s="1" t="s">
        <v>96</v>
      </c>
      <c r="F113" s="1" t="s">
        <v>103</v>
      </c>
      <c r="G113" s="1" t="s">
        <v>127</v>
      </c>
      <c r="H113" s="1" t="s">
        <v>251</v>
      </c>
      <c r="I113" s="1" t="s">
        <v>100</v>
      </c>
      <c r="J113" s="1" t="s">
        <v>101</v>
      </c>
      <c r="L113" s="1">
        <v>2588099</v>
      </c>
      <c r="M113" s="1" t="s">
        <v>267</v>
      </c>
      <c r="N113" s="8">
        <f t="shared" si="37"/>
        <v>43500</v>
      </c>
      <c r="O113" s="8">
        <f>DATE(2021,12,31)</f>
        <v>44561</v>
      </c>
      <c r="P113" s="1">
        <v>1980</v>
      </c>
      <c r="Q113" s="1">
        <v>1600</v>
      </c>
      <c r="R113" s="1">
        <f t="shared" si="18"/>
        <v>1600</v>
      </c>
      <c r="S113" s="1">
        <v>1</v>
      </c>
      <c r="U113" s="1">
        <f t="shared" si="19"/>
        <v>1062</v>
      </c>
      <c r="V113" s="7">
        <f t="shared" si="20"/>
        <v>1.5065913370998116</v>
      </c>
      <c r="W113" s="7">
        <f t="shared" si="21"/>
        <v>549.90583804143125</v>
      </c>
      <c r="X113" s="7">
        <f t="shared" si="22"/>
        <v>0.68738229755178903</v>
      </c>
      <c r="AA113" s="8">
        <f t="shared" si="23"/>
        <v>44927</v>
      </c>
      <c r="AB113" s="8">
        <f t="shared" si="24"/>
        <v>45291</v>
      </c>
      <c r="AC113" s="1">
        <v>13</v>
      </c>
      <c r="AD113" s="1">
        <f t="shared" si="25"/>
        <v>0</v>
      </c>
      <c r="AE113" s="1">
        <f t="shared" si="26"/>
        <v>0</v>
      </c>
      <c r="AF113" s="1">
        <f t="shared" si="27"/>
        <v>0</v>
      </c>
      <c r="AG113" s="1">
        <f t="shared" si="28"/>
        <v>0</v>
      </c>
      <c r="AH113" s="1">
        <f t="shared" si="29"/>
        <v>182.5</v>
      </c>
      <c r="AI113" s="5">
        <f t="shared" si="30"/>
        <v>0.5</v>
      </c>
      <c r="AJ113" s="5">
        <f t="shared" si="31"/>
        <v>0.34369114877589452</v>
      </c>
      <c r="AK113" s="5">
        <f t="shared" si="32"/>
        <v>2.2339924670433144</v>
      </c>
      <c r="AL113" s="5">
        <f t="shared" si="33"/>
        <v>2.2339924670433144</v>
      </c>
      <c r="AM113" s="5">
        <f t="shared" si="34"/>
        <v>0</v>
      </c>
      <c r="AN113" s="5">
        <f t="shared" si="35"/>
        <v>2.2339924670433144</v>
      </c>
      <c r="AO113" s="1" t="s">
        <v>102</v>
      </c>
    </row>
    <row r="114" spans="1:41" x14ac:dyDescent="0.25">
      <c r="A114" s="1" t="s">
        <v>19</v>
      </c>
      <c r="B114" s="1" t="s">
        <v>27</v>
      </c>
      <c r="C114" s="1" t="s">
        <v>21</v>
      </c>
      <c r="D114" s="1" t="s">
        <v>28</v>
      </c>
      <c r="E114" s="1" t="s">
        <v>172</v>
      </c>
      <c r="F114" s="1" t="s">
        <v>103</v>
      </c>
      <c r="G114" s="1" t="s">
        <v>185</v>
      </c>
      <c r="H114" s="1" t="s">
        <v>268</v>
      </c>
      <c r="I114" s="1" t="s">
        <v>105</v>
      </c>
      <c r="J114" s="1" t="s">
        <v>101</v>
      </c>
      <c r="L114" s="1">
        <v>2614316</v>
      </c>
      <c r="M114" s="1" t="s">
        <v>269</v>
      </c>
      <c r="N114" s="8">
        <f>DATE(2019,5,31)</f>
        <v>43616</v>
      </c>
      <c r="O114" s="8">
        <f>DATE(2020,12,20)</f>
        <v>44185</v>
      </c>
      <c r="P114" s="1">
        <v>440</v>
      </c>
      <c r="Q114" s="1">
        <v>360</v>
      </c>
      <c r="R114" s="1">
        <f t="shared" si="18"/>
        <v>360</v>
      </c>
      <c r="S114" s="1">
        <v>2.5</v>
      </c>
      <c r="U114" s="1">
        <f t="shared" si="19"/>
        <v>570</v>
      </c>
      <c r="V114" s="7">
        <f t="shared" si="20"/>
        <v>0.63157894736842102</v>
      </c>
      <c r="W114" s="7">
        <f t="shared" si="21"/>
        <v>230.52631578947367</v>
      </c>
      <c r="X114" s="7">
        <f t="shared" si="22"/>
        <v>0.28815789473684211</v>
      </c>
      <c r="AA114" s="8">
        <f t="shared" si="23"/>
        <v>44927</v>
      </c>
      <c r="AB114" s="8">
        <f t="shared" si="24"/>
        <v>45291</v>
      </c>
      <c r="AC114" s="1">
        <v>8</v>
      </c>
      <c r="AD114" s="1">
        <f t="shared" si="25"/>
        <v>0</v>
      </c>
      <c r="AE114" s="1">
        <f t="shared" si="26"/>
        <v>0</v>
      </c>
      <c r="AF114" s="1">
        <f t="shared" si="27"/>
        <v>0</v>
      </c>
      <c r="AG114" s="1">
        <f t="shared" si="28"/>
        <v>0</v>
      </c>
      <c r="AH114" s="1">
        <f t="shared" si="29"/>
        <v>182.5</v>
      </c>
      <c r="AI114" s="5">
        <f t="shared" si="30"/>
        <v>0.5</v>
      </c>
      <c r="AJ114" s="5">
        <f t="shared" si="31"/>
        <v>0.14407894736842106</v>
      </c>
      <c r="AK114" s="5">
        <f t="shared" si="32"/>
        <v>0.57631578947368423</v>
      </c>
      <c r="AL114" s="5">
        <f t="shared" si="33"/>
        <v>1.4407894736842106</v>
      </c>
      <c r="AM114" s="5">
        <f t="shared" si="34"/>
        <v>0</v>
      </c>
      <c r="AN114" s="5">
        <f t="shared" si="35"/>
        <v>1.4407894736842106</v>
      </c>
      <c r="AO114" s="1" t="s">
        <v>122</v>
      </c>
    </row>
    <row r="115" spans="1:41" x14ac:dyDescent="0.25">
      <c r="A115" s="1" t="s">
        <v>19</v>
      </c>
      <c r="B115" s="1" t="s">
        <v>27</v>
      </c>
      <c r="C115" s="1" t="s">
        <v>21</v>
      </c>
      <c r="D115" s="1" t="s">
        <v>28</v>
      </c>
      <c r="E115" s="1" t="s">
        <v>96</v>
      </c>
      <c r="F115" s="1" t="s">
        <v>103</v>
      </c>
      <c r="G115" s="1" t="s">
        <v>114</v>
      </c>
      <c r="H115" s="1" t="s">
        <v>115</v>
      </c>
      <c r="I115" s="1" t="s">
        <v>100</v>
      </c>
      <c r="J115" s="1" t="s">
        <v>101</v>
      </c>
      <c r="K115" s="1" t="s">
        <v>116</v>
      </c>
      <c r="L115" s="1">
        <v>2691031</v>
      </c>
      <c r="M115" s="1" t="s">
        <v>270</v>
      </c>
      <c r="N115" s="8">
        <f>DATE(2020,2,3)</f>
        <v>43864</v>
      </c>
      <c r="O115" s="8">
        <f>DATE(2022,12,30)</f>
        <v>44925</v>
      </c>
      <c r="P115" s="1">
        <v>3670</v>
      </c>
      <c r="Q115" s="1">
        <v>800</v>
      </c>
      <c r="R115" s="1">
        <f t="shared" si="18"/>
        <v>3000</v>
      </c>
      <c r="S115" s="1">
        <v>1.5</v>
      </c>
      <c r="U115" s="1">
        <f t="shared" si="19"/>
        <v>1062</v>
      </c>
      <c r="V115" s="7">
        <f t="shared" si="20"/>
        <v>2.8248587570621471</v>
      </c>
      <c r="W115" s="7">
        <f t="shared" si="21"/>
        <v>1031.0734463276838</v>
      </c>
      <c r="X115" s="7">
        <f t="shared" si="22"/>
        <v>1.2888418079096047</v>
      </c>
      <c r="AA115" s="8">
        <f t="shared" si="23"/>
        <v>44927</v>
      </c>
      <c r="AB115" s="8">
        <f t="shared" si="24"/>
        <v>45291</v>
      </c>
      <c r="AC115" s="1">
        <v>26</v>
      </c>
      <c r="AD115" s="1">
        <f t="shared" si="25"/>
        <v>0</v>
      </c>
      <c r="AE115" s="1">
        <f t="shared" si="26"/>
        <v>0</v>
      </c>
      <c r="AF115" s="1">
        <f t="shared" si="27"/>
        <v>0</v>
      </c>
      <c r="AG115" s="1">
        <f t="shared" si="28"/>
        <v>0</v>
      </c>
      <c r="AH115" s="1">
        <f t="shared" si="29"/>
        <v>182.5</v>
      </c>
      <c r="AI115" s="5">
        <f t="shared" si="30"/>
        <v>0.5</v>
      </c>
      <c r="AJ115" s="5">
        <f t="shared" si="31"/>
        <v>0.64442090395480234</v>
      </c>
      <c r="AK115" s="5">
        <f t="shared" si="32"/>
        <v>8.3774717514124308</v>
      </c>
      <c r="AL115" s="5">
        <f t="shared" si="33"/>
        <v>12.566207627118647</v>
      </c>
      <c r="AM115" s="5">
        <f t="shared" si="34"/>
        <v>0</v>
      </c>
      <c r="AN115" s="5">
        <f t="shared" si="35"/>
        <v>12.566207627118647</v>
      </c>
      <c r="AO115" s="1" t="s">
        <v>102</v>
      </c>
    </row>
    <row r="116" spans="1:41" x14ac:dyDescent="0.25">
      <c r="A116" s="1" t="s">
        <v>19</v>
      </c>
      <c r="B116" s="1" t="s">
        <v>27</v>
      </c>
      <c r="C116" s="1" t="s">
        <v>21</v>
      </c>
      <c r="D116" s="1" t="s">
        <v>28</v>
      </c>
      <c r="E116" s="1" t="s">
        <v>96</v>
      </c>
      <c r="F116" s="1" t="s">
        <v>103</v>
      </c>
      <c r="G116" s="1" t="s">
        <v>114</v>
      </c>
      <c r="H116" s="1" t="s">
        <v>257</v>
      </c>
      <c r="I116" s="1" t="s">
        <v>157</v>
      </c>
      <c r="J116" s="1" t="s">
        <v>101</v>
      </c>
      <c r="K116" s="1" t="s">
        <v>116</v>
      </c>
      <c r="L116" s="1">
        <v>2691034</v>
      </c>
      <c r="M116" s="1" t="s">
        <v>271</v>
      </c>
      <c r="N116" s="8">
        <f>DATE(2020,2,3)</f>
        <v>43864</v>
      </c>
      <c r="O116" s="8">
        <f>DATE(2022,12,30)</f>
        <v>44925</v>
      </c>
      <c r="P116" s="1">
        <v>3782</v>
      </c>
      <c r="Q116" s="1">
        <v>1200</v>
      </c>
      <c r="R116" s="1">
        <f t="shared" si="18"/>
        <v>3200</v>
      </c>
      <c r="S116" s="1">
        <v>2.5</v>
      </c>
      <c r="U116" s="1">
        <f t="shared" si="19"/>
        <v>1062</v>
      </c>
      <c r="V116" s="7">
        <f t="shared" si="20"/>
        <v>3.0131826741996233</v>
      </c>
      <c r="W116" s="7">
        <f t="shared" si="21"/>
        <v>1099.8116760828625</v>
      </c>
      <c r="X116" s="7">
        <f t="shared" si="22"/>
        <v>1.3747645951035781</v>
      </c>
      <c r="AA116" s="8">
        <f t="shared" si="23"/>
        <v>44927</v>
      </c>
      <c r="AB116" s="8">
        <f t="shared" si="24"/>
        <v>45291</v>
      </c>
      <c r="AC116" s="1">
        <v>23</v>
      </c>
      <c r="AD116" s="1">
        <f t="shared" si="25"/>
        <v>0</v>
      </c>
      <c r="AE116" s="1">
        <f t="shared" si="26"/>
        <v>0</v>
      </c>
      <c r="AF116" s="1">
        <f t="shared" si="27"/>
        <v>0</v>
      </c>
      <c r="AG116" s="1">
        <f t="shared" si="28"/>
        <v>0</v>
      </c>
      <c r="AH116" s="1">
        <f t="shared" si="29"/>
        <v>182.5</v>
      </c>
      <c r="AI116" s="5">
        <f t="shared" si="30"/>
        <v>0.5</v>
      </c>
      <c r="AJ116" s="5">
        <f t="shared" si="31"/>
        <v>0.68738229755178903</v>
      </c>
      <c r="AK116" s="5">
        <f t="shared" si="32"/>
        <v>7.9048964218455735</v>
      </c>
      <c r="AL116" s="5">
        <f t="shared" si="33"/>
        <v>19.762241054613934</v>
      </c>
      <c r="AM116" s="5">
        <f t="shared" si="34"/>
        <v>0</v>
      </c>
      <c r="AN116" s="5">
        <f t="shared" si="35"/>
        <v>19.762241054613934</v>
      </c>
      <c r="AO116" s="1" t="s">
        <v>102</v>
      </c>
    </row>
    <row r="117" spans="1:41" x14ac:dyDescent="0.25">
      <c r="A117" s="1" t="s">
        <v>19</v>
      </c>
      <c r="B117" s="1" t="s">
        <v>27</v>
      </c>
      <c r="C117" s="1" t="s">
        <v>21</v>
      </c>
      <c r="D117" s="1" t="s">
        <v>28</v>
      </c>
      <c r="E117" s="1" t="s">
        <v>96</v>
      </c>
      <c r="F117" s="1" t="s">
        <v>103</v>
      </c>
      <c r="G117" s="1" t="s">
        <v>114</v>
      </c>
      <c r="H117" s="1" t="s">
        <v>247</v>
      </c>
      <c r="I117" s="1" t="s">
        <v>162</v>
      </c>
      <c r="J117" s="1" t="s">
        <v>101</v>
      </c>
      <c r="K117" s="1" t="s">
        <v>116</v>
      </c>
      <c r="L117" s="1">
        <v>2691036</v>
      </c>
      <c r="M117" s="1" t="s">
        <v>272</v>
      </c>
      <c r="N117" s="8">
        <f>DATE(2020,2,3)</f>
        <v>43864</v>
      </c>
      <c r="O117" s="8">
        <f>DATE(2022,12,30)</f>
        <v>44925</v>
      </c>
      <c r="P117" s="1">
        <v>3738</v>
      </c>
      <c r="Q117" s="1">
        <v>1200</v>
      </c>
      <c r="R117" s="1">
        <f t="shared" si="18"/>
        <v>3200</v>
      </c>
      <c r="S117" s="1">
        <v>1.5</v>
      </c>
      <c r="U117" s="1">
        <f t="shared" si="19"/>
        <v>1062</v>
      </c>
      <c r="V117" s="7">
        <f t="shared" si="20"/>
        <v>3.0131826741996233</v>
      </c>
      <c r="W117" s="7">
        <f t="shared" si="21"/>
        <v>1099.8116760828625</v>
      </c>
      <c r="X117" s="7">
        <f t="shared" si="22"/>
        <v>1.3747645951035781</v>
      </c>
      <c r="AA117" s="8">
        <f t="shared" si="23"/>
        <v>44927</v>
      </c>
      <c r="AB117" s="8">
        <f t="shared" si="24"/>
        <v>45291</v>
      </c>
      <c r="AC117" s="1">
        <v>52</v>
      </c>
      <c r="AD117" s="1">
        <f t="shared" si="25"/>
        <v>0</v>
      </c>
      <c r="AE117" s="1">
        <f t="shared" si="26"/>
        <v>0</v>
      </c>
      <c r="AF117" s="1">
        <f t="shared" si="27"/>
        <v>0</v>
      </c>
      <c r="AG117" s="1">
        <f t="shared" si="28"/>
        <v>0</v>
      </c>
      <c r="AH117" s="1">
        <f t="shared" si="29"/>
        <v>182.5</v>
      </c>
      <c r="AI117" s="5">
        <f t="shared" si="30"/>
        <v>0.5</v>
      </c>
      <c r="AJ117" s="5">
        <f t="shared" si="31"/>
        <v>0.68738229755178903</v>
      </c>
      <c r="AK117" s="5">
        <f t="shared" si="32"/>
        <v>17.871939736346516</v>
      </c>
      <c r="AL117" s="5">
        <f t="shared" si="33"/>
        <v>26.807909604519772</v>
      </c>
      <c r="AM117" s="5">
        <f t="shared" si="34"/>
        <v>0</v>
      </c>
      <c r="AN117" s="5">
        <f t="shared" si="35"/>
        <v>26.807909604519772</v>
      </c>
      <c r="AO117" s="1" t="s">
        <v>102</v>
      </c>
    </row>
    <row r="118" spans="1:41" x14ac:dyDescent="0.25">
      <c r="A118" s="1" t="s">
        <v>19</v>
      </c>
      <c r="B118" s="1" t="s">
        <v>27</v>
      </c>
      <c r="C118" s="1" t="s">
        <v>21</v>
      </c>
      <c r="D118" s="1" t="s">
        <v>28</v>
      </c>
      <c r="E118" s="1" t="s">
        <v>96</v>
      </c>
      <c r="F118" s="1" t="s">
        <v>103</v>
      </c>
      <c r="G118" s="1" t="s">
        <v>114</v>
      </c>
      <c r="H118" s="1" t="s">
        <v>254</v>
      </c>
      <c r="I118" s="1" t="s">
        <v>255</v>
      </c>
      <c r="J118" s="1" t="s">
        <v>101</v>
      </c>
      <c r="K118" s="1" t="s">
        <v>116</v>
      </c>
      <c r="L118" s="1">
        <v>2691040</v>
      </c>
      <c r="M118" s="1" t="s">
        <v>273</v>
      </c>
      <c r="N118" s="8">
        <f>DATE(2020,2,3)</f>
        <v>43864</v>
      </c>
      <c r="O118" s="8">
        <f>DATE(2022,12,30)</f>
        <v>44925</v>
      </c>
      <c r="P118" s="1">
        <v>3860</v>
      </c>
      <c r="Q118" s="1">
        <v>1200</v>
      </c>
      <c r="R118" s="1">
        <f t="shared" si="18"/>
        <v>3200</v>
      </c>
      <c r="S118" s="1">
        <v>2.5</v>
      </c>
      <c r="U118" s="1">
        <f t="shared" si="19"/>
        <v>1062</v>
      </c>
      <c r="V118" s="7">
        <f t="shared" si="20"/>
        <v>3.0131826741996233</v>
      </c>
      <c r="W118" s="7">
        <f t="shared" si="21"/>
        <v>1099.8116760828625</v>
      </c>
      <c r="X118" s="7">
        <f t="shared" si="22"/>
        <v>1.3747645951035781</v>
      </c>
      <c r="AA118" s="8">
        <f t="shared" si="23"/>
        <v>44927</v>
      </c>
      <c r="AB118" s="8">
        <f t="shared" si="24"/>
        <v>45291</v>
      </c>
      <c r="AC118" s="1">
        <v>21</v>
      </c>
      <c r="AD118" s="1">
        <f t="shared" si="25"/>
        <v>0</v>
      </c>
      <c r="AE118" s="1">
        <f t="shared" si="26"/>
        <v>0</v>
      </c>
      <c r="AF118" s="1">
        <f t="shared" si="27"/>
        <v>0</v>
      </c>
      <c r="AG118" s="1">
        <f t="shared" si="28"/>
        <v>0</v>
      </c>
      <c r="AH118" s="1">
        <f t="shared" si="29"/>
        <v>182.5</v>
      </c>
      <c r="AI118" s="5">
        <f t="shared" si="30"/>
        <v>0.5</v>
      </c>
      <c r="AJ118" s="5">
        <f t="shared" si="31"/>
        <v>0.68738229755178903</v>
      </c>
      <c r="AK118" s="5">
        <f t="shared" si="32"/>
        <v>7.2175141242937846</v>
      </c>
      <c r="AL118" s="5">
        <f t="shared" si="33"/>
        <v>18.04378531073446</v>
      </c>
      <c r="AM118" s="5">
        <f t="shared" si="34"/>
        <v>0</v>
      </c>
      <c r="AN118" s="5">
        <f t="shared" si="35"/>
        <v>18.04378531073446</v>
      </c>
      <c r="AO118" s="1" t="s">
        <v>102</v>
      </c>
    </row>
    <row r="119" spans="1:41" x14ac:dyDescent="0.25">
      <c r="A119" s="1" t="s">
        <v>19</v>
      </c>
      <c r="B119" s="1" t="s">
        <v>27</v>
      </c>
      <c r="C119" s="1" t="s">
        <v>21</v>
      </c>
      <c r="D119" s="1" t="s">
        <v>28</v>
      </c>
      <c r="E119" s="1" t="s">
        <v>96</v>
      </c>
      <c r="F119" s="1" t="s">
        <v>103</v>
      </c>
      <c r="G119" s="1" t="s">
        <v>127</v>
      </c>
      <c r="H119" s="1" t="s">
        <v>251</v>
      </c>
      <c r="I119" s="1" t="s">
        <v>100</v>
      </c>
      <c r="J119" s="1" t="s">
        <v>101</v>
      </c>
      <c r="L119" s="1">
        <v>2691053</v>
      </c>
      <c r="M119" s="1" t="s">
        <v>274</v>
      </c>
      <c r="N119" s="8">
        <f>DATE(2020,2,3)</f>
        <v>43864</v>
      </c>
      <c r="O119" s="8">
        <f>DATE(2022,12,30)</f>
        <v>44925</v>
      </c>
      <c r="P119" s="1">
        <v>1980</v>
      </c>
      <c r="Q119" s="1">
        <v>1600</v>
      </c>
      <c r="R119" s="1">
        <f t="shared" si="18"/>
        <v>1600</v>
      </c>
      <c r="S119" s="1">
        <v>1</v>
      </c>
      <c r="U119" s="1">
        <f t="shared" si="19"/>
        <v>1062</v>
      </c>
      <c r="V119" s="7">
        <f t="shared" si="20"/>
        <v>1.5065913370998116</v>
      </c>
      <c r="W119" s="7">
        <f t="shared" si="21"/>
        <v>549.90583804143125</v>
      </c>
      <c r="X119" s="7">
        <f t="shared" si="22"/>
        <v>0.68738229755178903</v>
      </c>
      <c r="AA119" s="8">
        <f t="shared" si="23"/>
        <v>44927</v>
      </c>
      <c r="AB119" s="8">
        <f t="shared" si="24"/>
        <v>45291</v>
      </c>
      <c r="AC119" s="1">
        <v>28</v>
      </c>
      <c r="AD119" s="1">
        <f t="shared" si="25"/>
        <v>0</v>
      </c>
      <c r="AE119" s="1">
        <f t="shared" si="26"/>
        <v>0</v>
      </c>
      <c r="AF119" s="1">
        <f t="shared" si="27"/>
        <v>0</v>
      </c>
      <c r="AG119" s="1">
        <f t="shared" si="28"/>
        <v>0</v>
      </c>
      <c r="AH119" s="1">
        <f t="shared" si="29"/>
        <v>182.5</v>
      </c>
      <c r="AI119" s="5">
        <f t="shared" si="30"/>
        <v>0.5</v>
      </c>
      <c r="AJ119" s="5">
        <f t="shared" si="31"/>
        <v>0.34369114877589452</v>
      </c>
      <c r="AK119" s="5">
        <f t="shared" si="32"/>
        <v>4.8116760828625234</v>
      </c>
      <c r="AL119" s="5">
        <f t="shared" si="33"/>
        <v>4.8116760828625234</v>
      </c>
      <c r="AM119" s="5">
        <f t="shared" si="34"/>
        <v>0</v>
      </c>
      <c r="AN119" s="5">
        <f t="shared" si="35"/>
        <v>4.8116760828625234</v>
      </c>
      <c r="AO119" s="1" t="s">
        <v>102</v>
      </c>
    </row>
    <row r="120" spans="1:41" x14ac:dyDescent="0.25">
      <c r="A120" s="1" t="s">
        <v>19</v>
      </c>
      <c r="B120" s="1" t="s">
        <v>27</v>
      </c>
      <c r="C120" s="1" t="s">
        <v>21</v>
      </c>
      <c r="D120" s="1" t="s">
        <v>28</v>
      </c>
      <c r="E120" s="1" t="s">
        <v>96</v>
      </c>
      <c r="F120" s="1" t="s">
        <v>103</v>
      </c>
      <c r="G120" s="1" t="s">
        <v>127</v>
      </c>
      <c r="H120" s="1" t="s">
        <v>251</v>
      </c>
      <c r="I120" s="1" t="s">
        <v>100</v>
      </c>
      <c r="J120" s="1" t="s">
        <v>101</v>
      </c>
      <c r="L120" s="1">
        <v>2774197</v>
      </c>
      <c r="M120" s="1" t="s">
        <v>275</v>
      </c>
      <c r="N120" s="8">
        <f>DATE(2021,5,1)</f>
        <v>44317</v>
      </c>
      <c r="O120" s="8">
        <f>DATE(2024,2,29)</f>
        <v>45351</v>
      </c>
      <c r="P120" s="1">
        <v>1722</v>
      </c>
      <c r="Q120" s="1">
        <v>1600</v>
      </c>
      <c r="R120" s="1">
        <f t="shared" si="18"/>
        <v>1600</v>
      </c>
      <c r="S120" s="1">
        <v>1</v>
      </c>
      <c r="U120" s="1">
        <f t="shared" si="19"/>
        <v>1035</v>
      </c>
      <c r="V120" s="7">
        <f t="shared" si="20"/>
        <v>1.5458937198067633</v>
      </c>
      <c r="W120" s="7">
        <f t="shared" si="21"/>
        <v>564.25120772946855</v>
      </c>
      <c r="X120" s="7">
        <f t="shared" si="22"/>
        <v>0.70531400966183566</v>
      </c>
      <c r="AA120" s="8">
        <f t="shared" si="23"/>
        <v>44927</v>
      </c>
      <c r="AB120" s="8">
        <f t="shared" si="24"/>
        <v>45291</v>
      </c>
      <c r="AC120" s="1">
        <v>22</v>
      </c>
      <c r="AD120" s="1">
        <f t="shared" si="25"/>
        <v>365</v>
      </c>
      <c r="AE120" s="1">
        <f t="shared" si="26"/>
        <v>0</v>
      </c>
      <c r="AF120" s="1">
        <f t="shared" si="27"/>
        <v>0</v>
      </c>
      <c r="AG120" s="1">
        <f t="shared" si="28"/>
        <v>0</v>
      </c>
      <c r="AH120" s="1">
        <f t="shared" si="29"/>
        <v>0</v>
      </c>
      <c r="AI120" s="5">
        <f t="shared" si="30"/>
        <v>1</v>
      </c>
      <c r="AJ120" s="5">
        <f t="shared" si="31"/>
        <v>0.70531400966183566</v>
      </c>
      <c r="AK120" s="5">
        <f t="shared" si="32"/>
        <v>15.516908212560384</v>
      </c>
      <c r="AL120" s="5">
        <f t="shared" si="33"/>
        <v>15.516908212560384</v>
      </c>
      <c r="AM120" s="5">
        <f t="shared" si="34"/>
        <v>0</v>
      </c>
      <c r="AN120" s="5">
        <f t="shared" si="35"/>
        <v>15.516908212560384</v>
      </c>
      <c r="AO120" s="1" t="s">
        <v>102</v>
      </c>
    </row>
    <row r="121" spans="1:41" x14ac:dyDescent="0.25">
      <c r="A121" s="1" t="s">
        <v>19</v>
      </c>
      <c r="B121" s="1" t="s">
        <v>27</v>
      </c>
      <c r="C121" s="1" t="s">
        <v>21</v>
      </c>
      <c r="D121" s="1" t="s">
        <v>28</v>
      </c>
      <c r="E121" s="1" t="s">
        <v>96</v>
      </c>
      <c r="F121" s="1" t="s">
        <v>103</v>
      </c>
      <c r="G121" s="1" t="s">
        <v>114</v>
      </c>
      <c r="H121" s="1" t="s">
        <v>115</v>
      </c>
      <c r="I121" s="1" t="s">
        <v>100</v>
      </c>
      <c r="J121" s="1" t="s">
        <v>101</v>
      </c>
      <c r="K121" s="1" t="s">
        <v>116</v>
      </c>
      <c r="L121" s="1">
        <v>2774200</v>
      </c>
      <c r="M121" s="1" t="s">
        <v>276</v>
      </c>
      <c r="N121" s="8">
        <f>DATE(2021,5,1)</f>
        <v>44317</v>
      </c>
      <c r="O121" s="8">
        <f>DATE(2024,2,29)</f>
        <v>45351</v>
      </c>
      <c r="P121" s="1">
        <v>3670</v>
      </c>
      <c r="Q121" s="1">
        <v>800</v>
      </c>
      <c r="R121" s="1">
        <f t="shared" si="18"/>
        <v>3000</v>
      </c>
      <c r="S121" s="1">
        <v>1.5</v>
      </c>
      <c r="U121" s="1">
        <f t="shared" si="19"/>
        <v>1035</v>
      </c>
      <c r="V121" s="7">
        <f t="shared" si="20"/>
        <v>2.8985507246376812</v>
      </c>
      <c r="W121" s="7">
        <f t="shared" si="21"/>
        <v>1057.9710144927535</v>
      </c>
      <c r="X121" s="7">
        <f t="shared" si="22"/>
        <v>1.3224637681159419</v>
      </c>
      <c r="AA121" s="8">
        <f t="shared" si="23"/>
        <v>44927</v>
      </c>
      <c r="AB121" s="8">
        <f t="shared" si="24"/>
        <v>45291</v>
      </c>
      <c r="AC121" s="1">
        <v>27</v>
      </c>
      <c r="AD121" s="1">
        <f t="shared" si="25"/>
        <v>365</v>
      </c>
      <c r="AE121" s="1">
        <f t="shared" si="26"/>
        <v>0</v>
      </c>
      <c r="AF121" s="1">
        <f t="shared" si="27"/>
        <v>0</v>
      </c>
      <c r="AG121" s="1">
        <f t="shared" si="28"/>
        <v>0</v>
      </c>
      <c r="AH121" s="1">
        <f t="shared" si="29"/>
        <v>0</v>
      </c>
      <c r="AI121" s="5">
        <f t="shared" si="30"/>
        <v>1</v>
      </c>
      <c r="AJ121" s="5">
        <f t="shared" si="31"/>
        <v>1.3224637681159419</v>
      </c>
      <c r="AK121" s="5">
        <f t="shared" si="32"/>
        <v>35.70652173913043</v>
      </c>
      <c r="AL121" s="5">
        <f t="shared" si="33"/>
        <v>53.559782608695642</v>
      </c>
      <c r="AM121" s="5">
        <f t="shared" si="34"/>
        <v>0</v>
      </c>
      <c r="AN121" s="5">
        <f t="shared" si="35"/>
        <v>53.559782608695642</v>
      </c>
      <c r="AO121" s="1" t="s">
        <v>102</v>
      </c>
    </row>
    <row r="122" spans="1:41" x14ac:dyDescent="0.25">
      <c r="A122" s="1" t="s">
        <v>19</v>
      </c>
      <c r="B122" s="1" t="s">
        <v>27</v>
      </c>
      <c r="C122" s="1" t="s">
        <v>21</v>
      </c>
      <c r="D122" s="1" t="s">
        <v>28</v>
      </c>
      <c r="E122" s="1" t="s">
        <v>96</v>
      </c>
      <c r="F122" s="1" t="s">
        <v>103</v>
      </c>
      <c r="G122" s="1" t="s">
        <v>114</v>
      </c>
      <c r="H122" s="1" t="s">
        <v>247</v>
      </c>
      <c r="I122" s="1" t="s">
        <v>162</v>
      </c>
      <c r="J122" s="1" t="s">
        <v>101</v>
      </c>
      <c r="K122" s="1" t="s">
        <v>116</v>
      </c>
      <c r="L122" s="1">
        <v>2774201</v>
      </c>
      <c r="M122" s="1" t="s">
        <v>277</v>
      </c>
      <c r="N122" s="8">
        <f>DATE(2021,5,1)</f>
        <v>44317</v>
      </c>
      <c r="O122" s="8">
        <f>DATE(2024,2,29)</f>
        <v>45351</v>
      </c>
      <c r="P122" s="1">
        <v>3738</v>
      </c>
      <c r="Q122" s="1">
        <v>1200</v>
      </c>
      <c r="R122" s="1">
        <f t="shared" si="18"/>
        <v>3200</v>
      </c>
      <c r="S122" s="1">
        <v>1.5</v>
      </c>
      <c r="U122" s="1">
        <f t="shared" si="19"/>
        <v>1035</v>
      </c>
      <c r="V122" s="7">
        <f t="shared" si="20"/>
        <v>3.0917874396135265</v>
      </c>
      <c r="W122" s="7">
        <f t="shared" si="21"/>
        <v>1128.5024154589371</v>
      </c>
      <c r="X122" s="7">
        <f t="shared" si="22"/>
        <v>1.4106280193236713</v>
      </c>
      <c r="AA122" s="8">
        <f t="shared" si="23"/>
        <v>44927</v>
      </c>
      <c r="AB122" s="8">
        <f t="shared" si="24"/>
        <v>45291</v>
      </c>
      <c r="AC122" s="1">
        <v>63</v>
      </c>
      <c r="AD122" s="1">
        <f t="shared" si="25"/>
        <v>365</v>
      </c>
      <c r="AE122" s="1">
        <f t="shared" si="26"/>
        <v>0</v>
      </c>
      <c r="AF122" s="1">
        <f t="shared" si="27"/>
        <v>0</v>
      </c>
      <c r="AG122" s="1">
        <f t="shared" si="28"/>
        <v>0</v>
      </c>
      <c r="AH122" s="1">
        <f t="shared" si="29"/>
        <v>0</v>
      </c>
      <c r="AI122" s="5">
        <f t="shared" si="30"/>
        <v>1</v>
      </c>
      <c r="AJ122" s="5">
        <f t="shared" si="31"/>
        <v>1.4106280193236713</v>
      </c>
      <c r="AK122" s="5">
        <f t="shared" si="32"/>
        <v>88.869565217391298</v>
      </c>
      <c r="AL122" s="5">
        <f t="shared" si="33"/>
        <v>133.30434782608694</v>
      </c>
      <c r="AM122" s="5">
        <f t="shared" si="34"/>
        <v>0</v>
      </c>
      <c r="AN122" s="5">
        <f t="shared" si="35"/>
        <v>133.30434782608694</v>
      </c>
      <c r="AO122" s="1" t="s">
        <v>102</v>
      </c>
    </row>
    <row r="123" spans="1:41" x14ac:dyDescent="0.25">
      <c r="A123" s="1" t="s">
        <v>19</v>
      </c>
      <c r="B123" s="1" t="s">
        <v>27</v>
      </c>
      <c r="C123" s="1" t="s">
        <v>21</v>
      </c>
      <c r="D123" s="1" t="s">
        <v>28</v>
      </c>
      <c r="E123" s="1" t="s">
        <v>96</v>
      </c>
      <c r="F123" s="1" t="s">
        <v>103</v>
      </c>
      <c r="G123" s="1" t="s">
        <v>114</v>
      </c>
      <c r="H123" s="1" t="s">
        <v>257</v>
      </c>
      <c r="I123" s="1" t="s">
        <v>157</v>
      </c>
      <c r="J123" s="1" t="s">
        <v>101</v>
      </c>
      <c r="K123" s="1" t="s">
        <v>116</v>
      </c>
      <c r="L123" s="1">
        <v>2774202</v>
      </c>
      <c r="M123" s="1" t="s">
        <v>278</v>
      </c>
      <c r="N123" s="8">
        <f>DATE(2021,5,1)</f>
        <v>44317</v>
      </c>
      <c r="O123" s="8">
        <f>DATE(2024,2,29)</f>
        <v>45351</v>
      </c>
      <c r="P123" s="1">
        <v>3782</v>
      </c>
      <c r="Q123" s="1">
        <v>1200</v>
      </c>
      <c r="R123" s="1">
        <f t="shared" si="18"/>
        <v>3200</v>
      </c>
      <c r="S123" s="1">
        <v>2.5</v>
      </c>
      <c r="U123" s="1">
        <f t="shared" si="19"/>
        <v>1035</v>
      </c>
      <c r="V123" s="7">
        <f t="shared" si="20"/>
        <v>3.0917874396135265</v>
      </c>
      <c r="W123" s="7">
        <f t="shared" si="21"/>
        <v>1128.5024154589371</v>
      </c>
      <c r="X123" s="7">
        <f t="shared" si="22"/>
        <v>1.4106280193236713</v>
      </c>
      <c r="AA123" s="8">
        <f t="shared" si="23"/>
        <v>44927</v>
      </c>
      <c r="AB123" s="8">
        <f t="shared" si="24"/>
        <v>45291</v>
      </c>
      <c r="AC123" s="1">
        <v>21</v>
      </c>
      <c r="AD123" s="1">
        <f t="shared" si="25"/>
        <v>365</v>
      </c>
      <c r="AE123" s="1">
        <f t="shared" si="26"/>
        <v>0</v>
      </c>
      <c r="AF123" s="1">
        <f t="shared" si="27"/>
        <v>0</v>
      </c>
      <c r="AG123" s="1">
        <f t="shared" si="28"/>
        <v>0</v>
      </c>
      <c r="AH123" s="1">
        <f t="shared" si="29"/>
        <v>0</v>
      </c>
      <c r="AI123" s="5">
        <f t="shared" si="30"/>
        <v>1</v>
      </c>
      <c r="AJ123" s="5">
        <f t="shared" si="31"/>
        <v>1.4106280193236713</v>
      </c>
      <c r="AK123" s="5">
        <f t="shared" si="32"/>
        <v>29.623188405797098</v>
      </c>
      <c r="AL123" s="5">
        <f t="shared" si="33"/>
        <v>74.05797101449275</v>
      </c>
      <c r="AM123" s="5">
        <f t="shared" si="34"/>
        <v>0</v>
      </c>
      <c r="AN123" s="5">
        <f t="shared" si="35"/>
        <v>74.05797101449275</v>
      </c>
      <c r="AO123" s="1" t="s">
        <v>102</v>
      </c>
    </row>
    <row r="124" spans="1:41" x14ac:dyDescent="0.25">
      <c r="A124" s="1" t="s">
        <v>19</v>
      </c>
      <c r="B124" s="1" t="s">
        <v>27</v>
      </c>
      <c r="C124" s="1" t="s">
        <v>21</v>
      </c>
      <c r="D124" s="1" t="s">
        <v>28</v>
      </c>
      <c r="E124" s="1" t="s">
        <v>96</v>
      </c>
      <c r="F124" s="1" t="s">
        <v>103</v>
      </c>
      <c r="G124" s="1" t="s">
        <v>114</v>
      </c>
      <c r="H124" s="1" t="s">
        <v>119</v>
      </c>
      <c r="I124" s="1" t="s">
        <v>105</v>
      </c>
      <c r="J124" s="1" t="s">
        <v>106</v>
      </c>
      <c r="K124" s="1" t="s">
        <v>116</v>
      </c>
      <c r="L124" s="1">
        <v>2781994</v>
      </c>
      <c r="M124" s="1" t="s">
        <v>279</v>
      </c>
      <c r="N124" s="8">
        <f>DATE(2021,6,1)</f>
        <v>44348</v>
      </c>
      <c r="O124" s="8">
        <f>DATE(2024,2,27)</f>
        <v>45349</v>
      </c>
      <c r="P124" s="1">
        <v>3482</v>
      </c>
      <c r="Q124" s="1">
        <v>1200</v>
      </c>
      <c r="R124" s="1">
        <f t="shared" si="18"/>
        <v>3200</v>
      </c>
      <c r="S124" s="1">
        <v>2.5</v>
      </c>
      <c r="U124" s="1">
        <f t="shared" si="19"/>
        <v>1002</v>
      </c>
      <c r="V124" s="7">
        <f t="shared" si="20"/>
        <v>3.1936127744510978</v>
      </c>
      <c r="W124" s="7">
        <f t="shared" si="21"/>
        <v>1165.6686626746507</v>
      </c>
      <c r="X124" s="7">
        <f t="shared" si="22"/>
        <v>1.4570858283433135</v>
      </c>
      <c r="AA124" s="8">
        <f t="shared" si="23"/>
        <v>44927</v>
      </c>
      <c r="AB124" s="8">
        <f t="shared" si="24"/>
        <v>45291</v>
      </c>
      <c r="AC124" s="1">
        <v>29</v>
      </c>
      <c r="AD124" s="1">
        <f t="shared" si="25"/>
        <v>365</v>
      </c>
      <c r="AE124" s="1">
        <f t="shared" si="26"/>
        <v>0</v>
      </c>
      <c r="AF124" s="1">
        <f t="shared" si="27"/>
        <v>0</v>
      </c>
      <c r="AG124" s="1">
        <f t="shared" si="28"/>
        <v>0</v>
      </c>
      <c r="AH124" s="1">
        <f t="shared" si="29"/>
        <v>0</v>
      </c>
      <c r="AI124" s="5">
        <f t="shared" si="30"/>
        <v>1</v>
      </c>
      <c r="AJ124" s="5">
        <f t="shared" si="31"/>
        <v>1.4570858283433135</v>
      </c>
      <c r="AK124" s="5">
        <f t="shared" si="32"/>
        <v>42.255489021956087</v>
      </c>
      <c r="AL124" s="5">
        <f t="shared" si="33"/>
        <v>105.63872255489022</v>
      </c>
      <c r="AM124" s="5">
        <f t="shared" si="34"/>
        <v>52.819361277445111</v>
      </c>
      <c r="AN124" s="5">
        <f t="shared" si="35"/>
        <v>158.45808383233532</v>
      </c>
      <c r="AO124" s="1" t="s">
        <v>102</v>
      </c>
    </row>
    <row r="125" spans="1:41" x14ac:dyDescent="0.25">
      <c r="A125" s="1" t="s">
        <v>19</v>
      </c>
      <c r="B125" s="1" t="s">
        <v>27</v>
      </c>
      <c r="C125" s="1" t="s">
        <v>21</v>
      </c>
      <c r="D125" s="1" t="s">
        <v>28</v>
      </c>
      <c r="E125" s="1" t="s">
        <v>96</v>
      </c>
      <c r="F125" s="1" t="s">
        <v>103</v>
      </c>
      <c r="G125" s="1" t="s">
        <v>185</v>
      </c>
      <c r="H125" s="1" t="s">
        <v>227</v>
      </c>
      <c r="I125" s="1" t="s">
        <v>228</v>
      </c>
      <c r="J125" s="1" t="s">
        <v>101</v>
      </c>
      <c r="L125" s="1">
        <v>2815463</v>
      </c>
      <c r="M125" s="1" t="s">
        <v>280</v>
      </c>
      <c r="N125" s="8">
        <f>DATE(2021,10,1)</f>
        <v>44470</v>
      </c>
      <c r="O125" s="8">
        <f>DATE(2022,10,31)</f>
        <v>44865</v>
      </c>
      <c r="P125" s="1">
        <v>520</v>
      </c>
      <c r="Q125" s="1">
        <v>360</v>
      </c>
      <c r="R125" s="1">
        <f t="shared" si="18"/>
        <v>360</v>
      </c>
      <c r="S125" s="1">
        <v>2.5</v>
      </c>
      <c r="U125" s="1">
        <f t="shared" si="19"/>
        <v>396</v>
      </c>
      <c r="V125" s="7">
        <f t="shared" si="20"/>
        <v>0.90909090909090906</v>
      </c>
      <c r="W125" s="7">
        <f t="shared" si="21"/>
        <v>331.81818181818181</v>
      </c>
      <c r="X125" s="7">
        <f t="shared" si="22"/>
        <v>0.41477272727272729</v>
      </c>
      <c r="AA125" s="8">
        <f t="shared" si="23"/>
        <v>44927</v>
      </c>
      <c r="AB125" s="8">
        <f t="shared" si="24"/>
        <v>45291</v>
      </c>
      <c r="AC125" s="1">
        <v>1</v>
      </c>
      <c r="AD125" s="1">
        <f t="shared" si="25"/>
        <v>0</v>
      </c>
      <c r="AE125" s="1">
        <f t="shared" si="26"/>
        <v>0</v>
      </c>
      <c r="AF125" s="1">
        <f t="shared" si="27"/>
        <v>0</v>
      </c>
      <c r="AG125" s="1">
        <f t="shared" si="28"/>
        <v>0</v>
      </c>
      <c r="AH125" s="1">
        <f t="shared" si="29"/>
        <v>182.5</v>
      </c>
      <c r="AI125" s="5">
        <f t="shared" si="30"/>
        <v>0.5</v>
      </c>
      <c r="AJ125" s="5">
        <f t="shared" si="31"/>
        <v>0.20738636363636365</v>
      </c>
      <c r="AK125" s="5">
        <f t="shared" si="32"/>
        <v>0.10369318181818182</v>
      </c>
      <c r="AL125" s="5">
        <f t="shared" si="33"/>
        <v>0.25923295454545459</v>
      </c>
      <c r="AM125" s="5">
        <f t="shared" si="34"/>
        <v>0</v>
      </c>
      <c r="AN125" s="5">
        <f t="shared" si="35"/>
        <v>0.25923295454545459</v>
      </c>
      <c r="AO125" s="1" t="s">
        <v>102</v>
      </c>
    </row>
    <row r="126" spans="1:41" x14ac:dyDescent="0.25">
      <c r="A126" s="1" t="s">
        <v>19</v>
      </c>
      <c r="B126" s="1" t="s">
        <v>27</v>
      </c>
      <c r="C126" s="1" t="s">
        <v>21</v>
      </c>
      <c r="D126" s="1" t="s">
        <v>28</v>
      </c>
      <c r="E126" s="1" t="s">
        <v>96</v>
      </c>
      <c r="F126" s="1" t="s">
        <v>103</v>
      </c>
      <c r="G126" s="1" t="s">
        <v>127</v>
      </c>
      <c r="H126" s="1" t="s">
        <v>251</v>
      </c>
      <c r="I126" s="1" t="s">
        <v>100</v>
      </c>
      <c r="J126" s="1" t="s">
        <v>101</v>
      </c>
      <c r="L126" s="1">
        <v>2838295</v>
      </c>
      <c r="M126" s="1" t="s">
        <v>281</v>
      </c>
      <c r="N126" s="8">
        <f>DATE(2022,3,3)</f>
        <v>44623</v>
      </c>
      <c r="O126" s="8">
        <f>DATE(2025,2,28)</f>
        <v>45716</v>
      </c>
      <c r="P126" s="1">
        <v>1858</v>
      </c>
      <c r="Q126" s="1">
        <v>1600</v>
      </c>
      <c r="R126" s="1">
        <f t="shared" si="18"/>
        <v>1600</v>
      </c>
      <c r="S126" s="1">
        <v>1</v>
      </c>
      <c r="U126" s="1">
        <f t="shared" si="19"/>
        <v>1094</v>
      </c>
      <c r="V126" s="7">
        <f t="shared" si="20"/>
        <v>1.4625228519195612</v>
      </c>
      <c r="W126" s="7">
        <f t="shared" si="21"/>
        <v>533.82084095063988</v>
      </c>
      <c r="X126" s="7">
        <f t="shared" si="22"/>
        <v>0.6672760511882998</v>
      </c>
      <c r="AA126" s="8">
        <f t="shared" si="23"/>
        <v>44927</v>
      </c>
      <c r="AB126" s="8">
        <f t="shared" si="24"/>
        <v>45291</v>
      </c>
      <c r="AC126" s="1">
        <v>39</v>
      </c>
      <c r="AD126" s="1">
        <f t="shared" si="25"/>
        <v>365</v>
      </c>
      <c r="AE126" s="1">
        <f t="shared" si="26"/>
        <v>0</v>
      </c>
      <c r="AF126" s="1">
        <f t="shared" si="27"/>
        <v>0</v>
      </c>
      <c r="AG126" s="1">
        <f t="shared" si="28"/>
        <v>0</v>
      </c>
      <c r="AH126" s="1">
        <f t="shared" si="29"/>
        <v>0</v>
      </c>
      <c r="AI126" s="5">
        <f t="shared" si="30"/>
        <v>1</v>
      </c>
      <c r="AJ126" s="5">
        <f t="shared" si="31"/>
        <v>0.6672760511882998</v>
      </c>
      <c r="AK126" s="5">
        <f t="shared" si="32"/>
        <v>26.023765996343691</v>
      </c>
      <c r="AL126" s="5">
        <f t="shared" si="33"/>
        <v>26.023765996343691</v>
      </c>
      <c r="AM126" s="5">
        <f t="shared" si="34"/>
        <v>0</v>
      </c>
      <c r="AN126" s="5">
        <f t="shared" si="35"/>
        <v>26.023765996343691</v>
      </c>
      <c r="AO126" s="1" t="s">
        <v>102</v>
      </c>
    </row>
    <row r="127" spans="1:41" x14ac:dyDescent="0.25">
      <c r="A127" s="1" t="s">
        <v>19</v>
      </c>
      <c r="B127" s="1" t="s">
        <v>27</v>
      </c>
      <c r="C127" s="1" t="s">
        <v>21</v>
      </c>
      <c r="D127" s="1" t="s">
        <v>28</v>
      </c>
      <c r="E127" s="1" t="s">
        <v>96</v>
      </c>
      <c r="F127" s="1" t="s">
        <v>103</v>
      </c>
      <c r="G127" s="1" t="s">
        <v>114</v>
      </c>
      <c r="H127" s="1" t="s">
        <v>115</v>
      </c>
      <c r="I127" s="1" t="s">
        <v>100</v>
      </c>
      <c r="J127" s="1" t="s">
        <v>101</v>
      </c>
      <c r="K127" s="1" t="s">
        <v>116</v>
      </c>
      <c r="L127" s="1">
        <v>2838287</v>
      </c>
      <c r="M127" s="1" t="s">
        <v>282</v>
      </c>
      <c r="N127" s="8">
        <f>DATE(2022,4,4)</f>
        <v>44655</v>
      </c>
      <c r="O127" s="8">
        <f>DATE(2025,1,31)</f>
        <v>45688</v>
      </c>
      <c r="P127" s="1">
        <v>3670</v>
      </c>
      <c r="Q127" s="1">
        <v>800</v>
      </c>
      <c r="R127" s="1">
        <f t="shared" si="18"/>
        <v>3000</v>
      </c>
      <c r="S127" s="1">
        <v>1.5</v>
      </c>
      <c r="U127" s="1">
        <f t="shared" si="19"/>
        <v>1034</v>
      </c>
      <c r="V127" s="7">
        <f t="shared" si="20"/>
        <v>2.9013539651837523</v>
      </c>
      <c r="W127" s="7">
        <f t="shared" si="21"/>
        <v>1058.9941972920697</v>
      </c>
      <c r="X127" s="7">
        <f t="shared" si="22"/>
        <v>1.3237427466150871</v>
      </c>
      <c r="AA127" s="8">
        <f t="shared" si="23"/>
        <v>44927</v>
      </c>
      <c r="AB127" s="8">
        <f t="shared" si="24"/>
        <v>45291</v>
      </c>
      <c r="AC127" s="1">
        <v>34</v>
      </c>
      <c r="AD127" s="1">
        <f t="shared" si="25"/>
        <v>365</v>
      </c>
      <c r="AE127" s="1">
        <f t="shared" si="26"/>
        <v>0</v>
      </c>
      <c r="AF127" s="1">
        <f t="shared" si="27"/>
        <v>0</v>
      </c>
      <c r="AG127" s="1">
        <f t="shared" si="28"/>
        <v>0</v>
      </c>
      <c r="AH127" s="1">
        <f t="shared" si="29"/>
        <v>0</v>
      </c>
      <c r="AI127" s="5">
        <f t="shared" si="30"/>
        <v>1</v>
      </c>
      <c r="AJ127" s="5">
        <f t="shared" si="31"/>
        <v>1.3237427466150871</v>
      </c>
      <c r="AK127" s="5">
        <f t="shared" si="32"/>
        <v>45.007253384912957</v>
      </c>
      <c r="AL127" s="5">
        <f t="shared" si="33"/>
        <v>67.510880077369436</v>
      </c>
      <c r="AM127" s="5">
        <f t="shared" si="34"/>
        <v>0</v>
      </c>
      <c r="AN127" s="5">
        <f t="shared" si="35"/>
        <v>67.510880077369436</v>
      </c>
      <c r="AO127" s="1" t="s">
        <v>102</v>
      </c>
    </row>
    <row r="128" spans="1:41" x14ac:dyDescent="0.25">
      <c r="A128" s="1" t="s">
        <v>19</v>
      </c>
      <c r="B128" s="1" t="s">
        <v>27</v>
      </c>
      <c r="C128" s="1" t="s">
        <v>21</v>
      </c>
      <c r="D128" s="1" t="s">
        <v>28</v>
      </c>
      <c r="E128" s="1" t="s">
        <v>96</v>
      </c>
      <c r="F128" s="1" t="s">
        <v>103</v>
      </c>
      <c r="G128" s="1" t="s">
        <v>114</v>
      </c>
      <c r="H128" s="1" t="s">
        <v>119</v>
      </c>
      <c r="I128" s="1" t="s">
        <v>105</v>
      </c>
      <c r="J128" s="1" t="s">
        <v>106</v>
      </c>
      <c r="K128" s="1" t="s">
        <v>116</v>
      </c>
      <c r="L128" s="1">
        <v>2838290</v>
      </c>
      <c r="M128" s="1" t="s">
        <v>283</v>
      </c>
      <c r="N128" s="8">
        <f>DATE(2022,4,4)</f>
        <v>44655</v>
      </c>
      <c r="O128" s="8">
        <f>DATE(2025,1,31)</f>
        <v>45688</v>
      </c>
      <c r="P128" s="1">
        <v>3482</v>
      </c>
      <c r="Q128" s="1">
        <v>1200</v>
      </c>
      <c r="R128" s="1">
        <f t="shared" si="18"/>
        <v>3200</v>
      </c>
      <c r="S128" s="1">
        <v>2.5</v>
      </c>
      <c r="U128" s="1">
        <f t="shared" si="19"/>
        <v>1034</v>
      </c>
      <c r="V128" s="7">
        <f t="shared" si="20"/>
        <v>3.094777562862669</v>
      </c>
      <c r="W128" s="7">
        <f t="shared" si="21"/>
        <v>1129.5938104448742</v>
      </c>
      <c r="X128" s="7">
        <f t="shared" si="22"/>
        <v>1.4119922630560928</v>
      </c>
      <c r="AA128" s="8">
        <f t="shared" si="23"/>
        <v>44927</v>
      </c>
      <c r="AB128" s="8">
        <f t="shared" si="24"/>
        <v>45291</v>
      </c>
      <c r="AC128" s="1">
        <v>74</v>
      </c>
      <c r="AD128" s="1">
        <f t="shared" si="25"/>
        <v>365</v>
      </c>
      <c r="AE128" s="1">
        <f t="shared" si="26"/>
        <v>0</v>
      </c>
      <c r="AF128" s="1">
        <f t="shared" si="27"/>
        <v>0</v>
      </c>
      <c r="AG128" s="1">
        <f t="shared" si="28"/>
        <v>0</v>
      </c>
      <c r="AH128" s="1">
        <f t="shared" si="29"/>
        <v>0</v>
      </c>
      <c r="AI128" s="5">
        <f t="shared" si="30"/>
        <v>1</v>
      </c>
      <c r="AJ128" s="5">
        <f t="shared" si="31"/>
        <v>1.4119922630560928</v>
      </c>
      <c r="AK128" s="5">
        <f t="shared" si="32"/>
        <v>104.48742746615086</v>
      </c>
      <c r="AL128" s="5">
        <f t="shared" si="33"/>
        <v>261.21856866537718</v>
      </c>
      <c r="AM128" s="5">
        <f t="shared" si="34"/>
        <v>130.60928433268859</v>
      </c>
      <c r="AN128" s="5">
        <f t="shared" si="35"/>
        <v>391.82785299806574</v>
      </c>
      <c r="AO128" s="1" t="s">
        <v>102</v>
      </c>
    </row>
    <row r="129" spans="1:41" x14ac:dyDescent="0.25">
      <c r="A129" s="1" t="s">
        <v>19</v>
      </c>
      <c r="B129" s="1" t="s">
        <v>27</v>
      </c>
      <c r="C129" s="1" t="s">
        <v>21</v>
      </c>
      <c r="D129" s="1" t="s">
        <v>28</v>
      </c>
      <c r="E129" s="1" t="s">
        <v>96</v>
      </c>
      <c r="F129" s="1" t="s">
        <v>103</v>
      </c>
      <c r="G129" s="1" t="s">
        <v>114</v>
      </c>
      <c r="H129" s="1" t="s">
        <v>247</v>
      </c>
      <c r="I129" s="1" t="s">
        <v>162</v>
      </c>
      <c r="J129" s="1" t="s">
        <v>101</v>
      </c>
      <c r="K129" s="1" t="s">
        <v>116</v>
      </c>
      <c r="L129" s="1">
        <v>2838293</v>
      </c>
      <c r="M129" s="1" t="s">
        <v>284</v>
      </c>
      <c r="N129" s="8">
        <f>DATE(2022,4,4)</f>
        <v>44655</v>
      </c>
      <c r="O129" s="8">
        <f>DATE(2025,1,31)</f>
        <v>45688</v>
      </c>
      <c r="P129" s="1">
        <v>3672</v>
      </c>
      <c r="Q129" s="1">
        <v>1200</v>
      </c>
      <c r="R129" s="1">
        <f t="shared" si="18"/>
        <v>3200</v>
      </c>
      <c r="S129" s="1">
        <v>1.5</v>
      </c>
      <c r="U129" s="1">
        <f t="shared" si="19"/>
        <v>1034</v>
      </c>
      <c r="V129" s="7">
        <f t="shared" si="20"/>
        <v>3.094777562862669</v>
      </c>
      <c r="W129" s="7">
        <f t="shared" si="21"/>
        <v>1129.5938104448742</v>
      </c>
      <c r="X129" s="7">
        <f t="shared" si="22"/>
        <v>1.4119922630560928</v>
      </c>
      <c r="AA129" s="8">
        <f t="shared" si="23"/>
        <v>44927</v>
      </c>
      <c r="AB129" s="8">
        <f t="shared" si="24"/>
        <v>45291</v>
      </c>
      <c r="AC129" s="1">
        <v>65</v>
      </c>
      <c r="AD129" s="1">
        <f t="shared" si="25"/>
        <v>365</v>
      </c>
      <c r="AE129" s="1">
        <f t="shared" si="26"/>
        <v>0</v>
      </c>
      <c r="AF129" s="1">
        <f t="shared" si="27"/>
        <v>0</v>
      </c>
      <c r="AG129" s="1">
        <f t="shared" si="28"/>
        <v>0</v>
      </c>
      <c r="AH129" s="1">
        <f t="shared" si="29"/>
        <v>0</v>
      </c>
      <c r="AI129" s="5">
        <f t="shared" si="30"/>
        <v>1</v>
      </c>
      <c r="AJ129" s="5">
        <f t="shared" si="31"/>
        <v>1.4119922630560928</v>
      </c>
      <c r="AK129" s="5">
        <f t="shared" si="32"/>
        <v>91.779497098646033</v>
      </c>
      <c r="AL129" s="5">
        <f t="shared" si="33"/>
        <v>137.66924564796903</v>
      </c>
      <c r="AM129" s="5">
        <f t="shared" si="34"/>
        <v>0</v>
      </c>
      <c r="AN129" s="5">
        <f t="shared" si="35"/>
        <v>137.66924564796903</v>
      </c>
      <c r="AO129" s="1" t="s">
        <v>102</v>
      </c>
    </row>
    <row r="130" spans="1:41" x14ac:dyDescent="0.25">
      <c r="A130" s="1" t="s">
        <v>19</v>
      </c>
      <c r="B130" s="1" t="s">
        <v>27</v>
      </c>
      <c r="C130" s="1" t="s">
        <v>21</v>
      </c>
      <c r="D130" s="1" t="s">
        <v>28</v>
      </c>
      <c r="E130" s="1" t="s">
        <v>96</v>
      </c>
      <c r="F130" s="1" t="s">
        <v>103</v>
      </c>
      <c r="G130" s="1" t="s">
        <v>155</v>
      </c>
      <c r="H130" s="1" t="s">
        <v>235</v>
      </c>
      <c r="I130" s="1" t="s">
        <v>174</v>
      </c>
      <c r="J130" s="1" t="s">
        <v>101</v>
      </c>
      <c r="L130" s="1">
        <v>2929052</v>
      </c>
      <c r="M130" s="1" t="s">
        <v>285</v>
      </c>
      <c r="N130" s="8">
        <f>DATE(2022,11,14)</f>
        <v>44879</v>
      </c>
      <c r="O130" s="8">
        <f>DATE(2023,4,7)</f>
        <v>45023</v>
      </c>
      <c r="P130" s="1">
        <v>80</v>
      </c>
      <c r="Q130" s="1">
        <v>160</v>
      </c>
      <c r="R130" s="1">
        <f t="shared" si="18"/>
        <v>80</v>
      </c>
      <c r="S130" s="1">
        <v>1</v>
      </c>
      <c r="U130" s="1">
        <f t="shared" si="19"/>
        <v>145</v>
      </c>
      <c r="V130" s="7">
        <f t="shared" si="20"/>
        <v>0.55172413793103448</v>
      </c>
      <c r="W130" s="7">
        <f t="shared" si="21"/>
        <v>80</v>
      </c>
      <c r="X130" s="7">
        <f t="shared" si="22"/>
        <v>0.1</v>
      </c>
      <c r="AA130" s="8">
        <f t="shared" si="23"/>
        <v>44927</v>
      </c>
      <c r="AB130" s="8">
        <f t="shared" si="24"/>
        <v>45291</v>
      </c>
      <c r="AC130" s="1">
        <v>23</v>
      </c>
      <c r="AD130" s="1">
        <f t="shared" si="25"/>
        <v>0</v>
      </c>
      <c r="AE130" s="1">
        <f t="shared" si="26"/>
        <v>0</v>
      </c>
      <c r="AF130" s="1">
        <f t="shared" si="27"/>
        <v>97</v>
      </c>
      <c r="AG130" s="1">
        <f t="shared" si="28"/>
        <v>0</v>
      </c>
      <c r="AH130" s="1">
        <f t="shared" si="29"/>
        <v>0</v>
      </c>
      <c r="AI130" s="5">
        <f t="shared" si="30"/>
        <v>0.66896551724137931</v>
      </c>
      <c r="AJ130" s="5">
        <f t="shared" si="31"/>
        <v>6.6896551724137929E-2</v>
      </c>
      <c r="AK130" s="5">
        <f t="shared" si="32"/>
        <v>1.5386206896551724</v>
      </c>
      <c r="AL130" s="5">
        <f t="shared" si="33"/>
        <v>1.5386206896551724</v>
      </c>
      <c r="AM130" s="5">
        <f t="shared" si="34"/>
        <v>0</v>
      </c>
      <c r="AN130" s="5">
        <f t="shared" si="35"/>
        <v>1.5386206896551724</v>
      </c>
      <c r="AO130" s="1" t="s">
        <v>102</v>
      </c>
    </row>
    <row r="131" spans="1:41" x14ac:dyDescent="0.25">
      <c r="A131" s="1" t="s">
        <v>19</v>
      </c>
      <c r="B131" s="1" t="s">
        <v>27</v>
      </c>
      <c r="C131" s="1" t="s">
        <v>21</v>
      </c>
      <c r="D131" s="1" t="s">
        <v>28</v>
      </c>
      <c r="E131" s="1" t="s">
        <v>96</v>
      </c>
      <c r="F131" s="1" t="s">
        <v>103</v>
      </c>
      <c r="G131" s="1" t="s">
        <v>127</v>
      </c>
      <c r="H131" s="1" t="s">
        <v>251</v>
      </c>
      <c r="I131" s="1" t="s">
        <v>100</v>
      </c>
      <c r="J131" s="1" t="s">
        <v>101</v>
      </c>
      <c r="L131" s="1">
        <v>2947613</v>
      </c>
      <c r="M131" s="1" t="s">
        <v>286</v>
      </c>
      <c r="N131" s="8">
        <f>DATE(2023,2,6)</f>
        <v>44963</v>
      </c>
      <c r="O131" s="8">
        <f>DATE(2025,12,19)</f>
        <v>46010</v>
      </c>
      <c r="P131" s="1">
        <v>1858</v>
      </c>
      <c r="Q131" s="1">
        <v>1600</v>
      </c>
      <c r="R131" s="1">
        <f t="shared" ref="R131:R193" si="38">IF(OR(G131="QUALIFICACAO PROFISSIONAL (FIC)",G131="DOUTORADO"),P131,
    IF(ISNUMBER(FIND("PROEJA",K131)),2400,
        IF(K131="INTEGRADO",
            IF(Q131=800,3000,
                IF(Q131=1000,3100,
                    IF(Q131=1200,3200,Q131)
                )
            ),
            Q131
        )
    )
)</f>
        <v>1600</v>
      </c>
      <c r="S131" s="1">
        <v>1</v>
      </c>
      <c r="U131" s="1">
        <f t="shared" ref="U131:U193" si="39">O131-N131+1</f>
        <v>1048</v>
      </c>
      <c r="V131" s="7">
        <f t="shared" ref="V131:V193" si="40">IF(R131&gt;P131,P131,R131)/U131</f>
        <v>1.5267175572519085</v>
      </c>
      <c r="W131" s="7">
        <f t="shared" ref="W131:W193" si="41">IF(U131&gt;365,V131*365,R131)</f>
        <v>557.25190839694665</v>
      </c>
      <c r="X131" s="7">
        <f t="shared" ref="X131:X193" si="42">IF(U131&gt;365,W131/800,R131/800)</f>
        <v>0.69656488549618334</v>
      </c>
      <c r="AA131" s="8">
        <f t="shared" ref="AA131:AA193" si="43">DATE(2023,1,1)</f>
        <v>44927</v>
      </c>
      <c r="AB131" s="8">
        <f t="shared" ref="AB131:AB193" si="44">DATE(2023,12,31)</f>
        <v>45291</v>
      </c>
      <c r="AC131" s="1">
        <v>40</v>
      </c>
      <c r="AD131" s="1">
        <f t="shared" ref="AD131:AD193" si="45">IF(AND(N131&lt;AA131,O131&gt;AB131),AB131-AA131+1,0)</f>
        <v>0</v>
      </c>
      <c r="AE131" s="1">
        <f t="shared" ref="AE131:AE193" si="46">IF(AND(N131&gt;=AA131,O131&gt;AB131,N131&lt;AB131),AB131-N131+1,0)</f>
        <v>329</v>
      </c>
      <c r="AF131" s="1">
        <f t="shared" ref="AF131:AF193" si="47">IF(AND(N131&lt;AA131,O131&lt;=AB131,O131&gt;=AA131),O131-AA131+1,0)</f>
        <v>0</v>
      </c>
      <c r="AG131" s="1">
        <f t="shared" ref="AG131:AG193" si="48">IF(AND(N131&gt;=AA131,O131&lt;=AB131),O131-N131+1,0)</f>
        <v>0</v>
      </c>
      <c r="AH131" s="1">
        <f t="shared" ref="AH131:AH193" si="49">IF(AND(N131&lt;AA131,O131&lt;AA131),(AB131-AA131+1)/2,0)</f>
        <v>0</v>
      </c>
      <c r="AI131" s="5">
        <f t="shared" ref="AI131:AI193" si="50">SUM(AD131:AH131)/IF(U131&gt;=365,AB131-AA131+1,U131)</f>
        <v>0.90136986301369859</v>
      </c>
      <c r="AJ131" s="5">
        <f t="shared" ref="AJ131:AJ193" si="51">X131*AI131</f>
        <v>0.62786259541984746</v>
      </c>
      <c r="AK131" s="5">
        <f t="shared" ref="AK131:AK193" si="52">IF(AH131=0,AJ131*AC131,IF(AA131-O131&gt;1095,0,AJ131*(AC131/2)))</f>
        <v>25.114503816793899</v>
      </c>
      <c r="AL131" s="5">
        <f t="shared" ref="AL131:AL193" si="53">AK131*S131</f>
        <v>25.114503816793899</v>
      </c>
      <c r="AM131" s="5">
        <f t="shared" ref="AM131:AM193" si="54">IF(J131="SIM",AL131*50%,0)</f>
        <v>0</v>
      </c>
      <c r="AN131" s="5">
        <f t="shared" ref="AN131:AN193" si="55">AL131+AM131</f>
        <v>25.114503816793899</v>
      </c>
      <c r="AO131" s="1" t="s">
        <v>102</v>
      </c>
    </row>
    <row r="132" spans="1:41" x14ac:dyDescent="0.25">
      <c r="A132" s="1" t="s">
        <v>19</v>
      </c>
      <c r="B132" s="1" t="s">
        <v>27</v>
      </c>
      <c r="C132" s="1" t="s">
        <v>21</v>
      </c>
      <c r="D132" s="1" t="s">
        <v>28</v>
      </c>
      <c r="E132" s="1" t="s">
        <v>96</v>
      </c>
      <c r="F132" s="1" t="s">
        <v>103</v>
      </c>
      <c r="G132" s="1" t="s">
        <v>114</v>
      </c>
      <c r="H132" s="1" t="s">
        <v>115</v>
      </c>
      <c r="I132" s="1" t="s">
        <v>100</v>
      </c>
      <c r="J132" s="1" t="s">
        <v>101</v>
      </c>
      <c r="K132" s="1" t="s">
        <v>116</v>
      </c>
      <c r="L132" s="1">
        <v>2973323</v>
      </c>
      <c r="M132" s="1" t="s">
        <v>287</v>
      </c>
      <c r="N132" s="8">
        <f>DATE(2023,3,20)</f>
        <v>45005</v>
      </c>
      <c r="O132" s="8">
        <f>DATE(2026,2,15)</f>
        <v>46068</v>
      </c>
      <c r="P132" s="1">
        <v>3670</v>
      </c>
      <c r="Q132" s="1">
        <v>800</v>
      </c>
      <c r="R132" s="1">
        <f t="shared" si="38"/>
        <v>3000</v>
      </c>
      <c r="S132" s="1">
        <v>1.5</v>
      </c>
      <c r="U132" s="1">
        <f t="shared" si="39"/>
        <v>1064</v>
      </c>
      <c r="V132" s="7">
        <f t="shared" si="40"/>
        <v>2.8195488721804511</v>
      </c>
      <c r="W132" s="7">
        <f t="shared" si="41"/>
        <v>1029.1353383458647</v>
      </c>
      <c r="X132" s="7">
        <f t="shared" si="42"/>
        <v>1.2864191729323309</v>
      </c>
      <c r="AA132" s="8">
        <f t="shared" si="43"/>
        <v>44927</v>
      </c>
      <c r="AB132" s="8">
        <f t="shared" si="44"/>
        <v>45291</v>
      </c>
      <c r="AC132" s="1">
        <v>36</v>
      </c>
      <c r="AD132" s="1">
        <f t="shared" si="45"/>
        <v>0</v>
      </c>
      <c r="AE132" s="1">
        <f t="shared" si="46"/>
        <v>287</v>
      </c>
      <c r="AF132" s="1">
        <f t="shared" si="47"/>
        <v>0</v>
      </c>
      <c r="AG132" s="1">
        <f t="shared" si="48"/>
        <v>0</v>
      </c>
      <c r="AH132" s="1">
        <f t="shared" si="49"/>
        <v>0</v>
      </c>
      <c r="AI132" s="5">
        <f t="shared" si="50"/>
        <v>0.78630136986301369</v>
      </c>
      <c r="AJ132" s="5">
        <f t="shared" si="51"/>
        <v>1.0115131578947369</v>
      </c>
      <c r="AK132" s="5">
        <f t="shared" si="52"/>
        <v>36.414473684210527</v>
      </c>
      <c r="AL132" s="5">
        <f t="shared" si="53"/>
        <v>54.621710526315795</v>
      </c>
      <c r="AM132" s="5">
        <f t="shared" si="54"/>
        <v>0</v>
      </c>
      <c r="AN132" s="5">
        <f t="shared" si="55"/>
        <v>54.621710526315795</v>
      </c>
      <c r="AO132" s="1" t="s">
        <v>102</v>
      </c>
    </row>
    <row r="133" spans="1:41" x14ac:dyDescent="0.25">
      <c r="A133" s="1" t="s">
        <v>19</v>
      </c>
      <c r="B133" s="1" t="s">
        <v>27</v>
      </c>
      <c r="C133" s="1" t="s">
        <v>21</v>
      </c>
      <c r="D133" s="1" t="s">
        <v>28</v>
      </c>
      <c r="E133" s="1" t="s">
        <v>96</v>
      </c>
      <c r="F133" s="1" t="s">
        <v>103</v>
      </c>
      <c r="G133" s="1" t="s">
        <v>114</v>
      </c>
      <c r="H133" s="1" t="s">
        <v>119</v>
      </c>
      <c r="I133" s="1" t="s">
        <v>105</v>
      </c>
      <c r="J133" s="1" t="s">
        <v>106</v>
      </c>
      <c r="K133" s="1" t="s">
        <v>116</v>
      </c>
      <c r="L133" s="1">
        <v>2973337</v>
      </c>
      <c r="M133" s="1" t="s">
        <v>288</v>
      </c>
      <c r="N133" s="8">
        <f>DATE(2023,3,20)</f>
        <v>45005</v>
      </c>
      <c r="O133" s="8">
        <f>DATE(2026,2,15)</f>
        <v>46068</v>
      </c>
      <c r="P133" s="1">
        <v>3482</v>
      </c>
      <c r="Q133" s="1">
        <v>1200</v>
      </c>
      <c r="R133" s="1">
        <f t="shared" si="38"/>
        <v>3200</v>
      </c>
      <c r="S133" s="1">
        <v>2.5</v>
      </c>
      <c r="U133" s="1">
        <f t="shared" si="39"/>
        <v>1064</v>
      </c>
      <c r="V133" s="7">
        <f t="shared" si="40"/>
        <v>3.007518796992481</v>
      </c>
      <c r="W133" s="7">
        <f t="shared" si="41"/>
        <v>1097.7443609022555</v>
      </c>
      <c r="X133" s="7">
        <f t="shared" si="42"/>
        <v>1.3721804511278193</v>
      </c>
      <c r="AA133" s="8">
        <f t="shared" si="43"/>
        <v>44927</v>
      </c>
      <c r="AB133" s="8">
        <f t="shared" si="44"/>
        <v>45291</v>
      </c>
      <c r="AC133" s="1">
        <v>73</v>
      </c>
      <c r="AD133" s="1">
        <f t="shared" si="45"/>
        <v>0</v>
      </c>
      <c r="AE133" s="1">
        <f t="shared" si="46"/>
        <v>287</v>
      </c>
      <c r="AF133" s="1">
        <f t="shared" si="47"/>
        <v>0</v>
      </c>
      <c r="AG133" s="1">
        <f t="shared" si="48"/>
        <v>0</v>
      </c>
      <c r="AH133" s="1">
        <f t="shared" si="49"/>
        <v>0</v>
      </c>
      <c r="AI133" s="5">
        <f t="shared" si="50"/>
        <v>0.78630136986301369</v>
      </c>
      <c r="AJ133" s="5">
        <f t="shared" si="51"/>
        <v>1.0789473684210524</v>
      </c>
      <c r="AK133" s="5">
        <f t="shared" si="52"/>
        <v>78.763157894736821</v>
      </c>
      <c r="AL133" s="5">
        <f t="shared" si="53"/>
        <v>196.90789473684205</v>
      </c>
      <c r="AM133" s="5">
        <f t="shared" si="54"/>
        <v>98.453947368421026</v>
      </c>
      <c r="AN133" s="5">
        <f t="shared" si="55"/>
        <v>295.36184210526307</v>
      </c>
      <c r="AO133" s="1" t="s">
        <v>102</v>
      </c>
    </row>
    <row r="134" spans="1:41" x14ac:dyDescent="0.25">
      <c r="A134" s="1" t="s">
        <v>19</v>
      </c>
      <c r="B134" s="1" t="s">
        <v>27</v>
      </c>
      <c r="C134" s="1" t="s">
        <v>21</v>
      </c>
      <c r="D134" s="1" t="s">
        <v>28</v>
      </c>
      <c r="E134" s="1" t="s">
        <v>96</v>
      </c>
      <c r="F134" s="1" t="s">
        <v>103</v>
      </c>
      <c r="G134" s="1" t="s">
        <v>114</v>
      </c>
      <c r="H134" s="1" t="s">
        <v>247</v>
      </c>
      <c r="I134" s="1" t="s">
        <v>162</v>
      </c>
      <c r="J134" s="1" t="s">
        <v>101</v>
      </c>
      <c r="K134" s="1" t="s">
        <v>116</v>
      </c>
      <c r="L134" s="1">
        <v>2973356</v>
      </c>
      <c r="M134" s="1" t="s">
        <v>289</v>
      </c>
      <c r="N134" s="8">
        <f>DATE(2023,3,20)</f>
        <v>45005</v>
      </c>
      <c r="O134" s="8">
        <f>DATE(2026,2,15)</f>
        <v>46068</v>
      </c>
      <c r="P134" s="1">
        <v>3772</v>
      </c>
      <c r="Q134" s="1">
        <v>1200</v>
      </c>
      <c r="R134" s="1">
        <f t="shared" si="38"/>
        <v>3200</v>
      </c>
      <c r="S134" s="1">
        <v>1.5</v>
      </c>
      <c r="U134" s="1">
        <f t="shared" si="39"/>
        <v>1064</v>
      </c>
      <c r="V134" s="7">
        <f t="shared" si="40"/>
        <v>3.007518796992481</v>
      </c>
      <c r="W134" s="7">
        <f t="shared" si="41"/>
        <v>1097.7443609022555</v>
      </c>
      <c r="X134" s="7">
        <f t="shared" si="42"/>
        <v>1.3721804511278193</v>
      </c>
      <c r="AA134" s="8">
        <f t="shared" si="43"/>
        <v>44927</v>
      </c>
      <c r="AB134" s="8">
        <f t="shared" si="44"/>
        <v>45291</v>
      </c>
      <c r="AC134" s="1">
        <v>68</v>
      </c>
      <c r="AD134" s="1">
        <f t="shared" si="45"/>
        <v>0</v>
      </c>
      <c r="AE134" s="1">
        <f t="shared" si="46"/>
        <v>287</v>
      </c>
      <c r="AF134" s="1">
        <f t="shared" si="47"/>
        <v>0</v>
      </c>
      <c r="AG134" s="1">
        <f t="shared" si="48"/>
        <v>0</v>
      </c>
      <c r="AH134" s="1">
        <f t="shared" si="49"/>
        <v>0</v>
      </c>
      <c r="AI134" s="5">
        <f t="shared" si="50"/>
        <v>0.78630136986301369</v>
      </c>
      <c r="AJ134" s="5">
        <f t="shared" si="51"/>
        <v>1.0789473684210524</v>
      </c>
      <c r="AK134" s="5">
        <f t="shared" si="52"/>
        <v>73.368421052631561</v>
      </c>
      <c r="AL134" s="5">
        <f t="shared" si="53"/>
        <v>110.05263157894734</v>
      </c>
      <c r="AM134" s="5">
        <f t="shared" si="54"/>
        <v>0</v>
      </c>
      <c r="AN134" s="5">
        <f t="shared" si="55"/>
        <v>110.05263157894734</v>
      </c>
      <c r="AO134" s="1" t="s">
        <v>102</v>
      </c>
    </row>
    <row r="135" spans="1:41" x14ac:dyDescent="0.25">
      <c r="A135" s="1" t="s">
        <v>19</v>
      </c>
      <c r="B135" s="1" t="s">
        <v>27</v>
      </c>
      <c r="C135" s="1" t="s">
        <v>21</v>
      </c>
      <c r="D135" s="1" t="s">
        <v>28</v>
      </c>
      <c r="E135" s="1" t="s">
        <v>172</v>
      </c>
      <c r="F135" s="1" t="s">
        <v>103</v>
      </c>
      <c r="G135" s="1" t="s">
        <v>114</v>
      </c>
      <c r="H135" s="1" t="s">
        <v>177</v>
      </c>
      <c r="I135" s="1" t="s">
        <v>174</v>
      </c>
      <c r="J135" s="1" t="s">
        <v>101</v>
      </c>
      <c r="K135" s="1" t="s">
        <v>175</v>
      </c>
      <c r="L135" s="1">
        <v>2973455</v>
      </c>
      <c r="M135" s="1" t="s">
        <v>290</v>
      </c>
      <c r="N135" s="8">
        <f>DATE(2023,4,1)</f>
        <v>45017</v>
      </c>
      <c r="O135" s="8">
        <f>DATE(2024,10,4)</f>
        <v>45569</v>
      </c>
      <c r="P135" s="1">
        <v>1200</v>
      </c>
      <c r="Q135" s="1">
        <v>1200</v>
      </c>
      <c r="R135" s="1">
        <f t="shared" si="38"/>
        <v>1200</v>
      </c>
      <c r="S135" s="1">
        <v>1</v>
      </c>
      <c r="U135" s="1">
        <f t="shared" si="39"/>
        <v>553</v>
      </c>
      <c r="V135" s="7">
        <f t="shared" si="40"/>
        <v>2.1699819168173597</v>
      </c>
      <c r="W135" s="7">
        <f t="shared" si="41"/>
        <v>792.04339963833627</v>
      </c>
      <c r="X135" s="7">
        <f t="shared" si="42"/>
        <v>0.99005424954792032</v>
      </c>
      <c r="AA135" s="8">
        <f t="shared" si="43"/>
        <v>44927</v>
      </c>
      <c r="AB135" s="8">
        <f t="shared" si="44"/>
        <v>45291</v>
      </c>
      <c r="AC135" s="1">
        <v>36</v>
      </c>
      <c r="AD135" s="1">
        <f t="shared" si="45"/>
        <v>0</v>
      </c>
      <c r="AE135" s="1">
        <f t="shared" si="46"/>
        <v>275</v>
      </c>
      <c r="AF135" s="1">
        <f t="shared" si="47"/>
        <v>0</v>
      </c>
      <c r="AG135" s="1">
        <f t="shared" si="48"/>
        <v>0</v>
      </c>
      <c r="AH135" s="1">
        <f t="shared" si="49"/>
        <v>0</v>
      </c>
      <c r="AI135" s="5">
        <f t="shared" si="50"/>
        <v>0.75342465753424659</v>
      </c>
      <c r="AJ135" s="5">
        <f t="shared" si="51"/>
        <v>0.74593128390596741</v>
      </c>
      <c r="AK135" s="5">
        <f t="shared" si="52"/>
        <v>26.853526220614828</v>
      </c>
      <c r="AL135" s="5">
        <f t="shared" si="53"/>
        <v>26.853526220614828</v>
      </c>
      <c r="AM135" s="5">
        <f t="shared" si="54"/>
        <v>0</v>
      </c>
      <c r="AN135" s="5">
        <f t="shared" si="55"/>
        <v>26.853526220614828</v>
      </c>
      <c r="AO135" s="1" t="s">
        <v>122</v>
      </c>
    </row>
    <row r="136" spans="1:41" x14ac:dyDescent="0.25">
      <c r="A136" s="1" t="s">
        <v>19</v>
      </c>
      <c r="B136" s="1" t="s">
        <v>27</v>
      </c>
      <c r="C136" s="1" t="s">
        <v>21</v>
      </c>
      <c r="D136" s="1" t="s">
        <v>28</v>
      </c>
      <c r="E136" s="1" t="s">
        <v>172</v>
      </c>
      <c r="F136" s="1" t="s">
        <v>103</v>
      </c>
      <c r="G136" s="1" t="s">
        <v>114</v>
      </c>
      <c r="H136" s="1" t="s">
        <v>173</v>
      </c>
      <c r="I136" s="1" t="s">
        <v>174</v>
      </c>
      <c r="J136" s="1" t="s">
        <v>101</v>
      </c>
      <c r="K136" s="1" t="s">
        <v>175</v>
      </c>
      <c r="L136" s="1">
        <v>2973458</v>
      </c>
      <c r="M136" s="1" t="s">
        <v>291</v>
      </c>
      <c r="N136" s="8">
        <f>DATE(2023,4,1)</f>
        <v>45017</v>
      </c>
      <c r="O136" s="8">
        <f>DATE(2024,10,4)</f>
        <v>45569</v>
      </c>
      <c r="P136" s="1">
        <v>1200</v>
      </c>
      <c r="Q136" s="1">
        <v>1200</v>
      </c>
      <c r="R136" s="1">
        <f t="shared" si="38"/>
        <v>1200</v>
      </c>
      <c r="S136" s="1">
        <v>2</v>
      </c>
      <c r="U136" s="1">
        <f t="shared" si="39"/>
        <v>553</v>
      </c>
      <c r="V136" s="7">
        <f t="shared" si="40"/>
        <v>2.1699819168173597</v>
      </c>
      <c r="W136" s="7">
        <f t="shared" si="41"/>
        <v>792.04339963833627</v>
      </c>
      <c r="X136" s="7">
        <f t="shared" si="42"/>
        <v>0.99005424954792032</v>
      </c>
      <c r="AA136" s="8">
        <f t="shared" si="43"/>
        <v>44927</v>
      </c>
      <c r="AB136" s="8">
        <f t="shared" si="44"/>
        <v>45291</v>
      </c>
      <c r="AC136" s="1">
        <v>15</v>
      </c>
      <c r="AD136" s="1">
        <f t="shared" si="45"/>
        <v>0</v>
      </c>
      <c r="AE136" s="1">
        <f t="shared" si="46"/>
        <v>275</v>
      </c>
      <c r="AF136" s="1">
        <f t="shared" si="47"/>
        <v>0</v>
      </c>
      <c r="AG136" s="1">
        <f t="shared" si="48"/>
        <v>0</v>
      </c>
      <c r="AH136" s="1">
        <f t="shared" si="49"/>
        <v>0</v>
      </c>
      <c r="AI136" s="5">
        <f t="shared" si="50"/>
        <v>0.75342465753424659</v>
      </c>
      <c r="AJ136" s="5">
        <f t="shared" si="51"/>
        <v>0.74593128390596741</v>
      </c>
      <c r="AK136" s="5">
        <f t="shared" si="52"/>
        <v>11.188969258589511</v>
      </c>
      <c r="AL136" s="5">
        <f t="shared" si="53"/>
        <v>22.377938517179022</v>
      </c>
      <c r="AM136" s="5">
        <f t="shared" si="54"/>
        <v>0</v>
      </c>
      <c r="AN136" s="5">
        <f t="shared" si="55"/>
        <v>22.377938517179022</v>
      </c>
      <c r="AO136" s="1" t="s">
        <v>122</v>
      </c>
    </row>
    <row r="137" spans="1:41" x14ac:dyDescent="0.25">
      <c r="A137" s="1" t="s">
        <v>19</v>
      </c>
      <c r="B137" s="1" t="s">
        <v>27</v>
      </c>
      <c r="C137" s="1" t="s">
        <v>21</v>
      </c>
      <c r="D137" s="1" t="s">
        <v>28</v>
      </c>
      <c r="E137" s="1" t="s">
        <v>172</v>
      </c>
      <c r="F137" s="1" t="s">
        <v>103</v>
      </c>
      <c r="G137" s="1" t="s">
        <v>114</v>
      </c>
      <c r="H137" s="1" t="s">
        <v>179</v>
      </c>
      <c r="I137" s="1" t="s">
        <v>174</v>
      </c>
      <c r="J137" s="1" t="s">
        <v>101</v>
      </c>
      <c r="K137" s="1" t="s">
        <v>175</v>
      </c>
      <c r="L137" s="1">
        <v>2974426</v>
      </c>
      <c r="M137" s="1" t="s">
        <v>292</v>
      </c>
      <c r="N137" s="8">
        <f>DATE(2023,4,1)</f>
        <v>45017</v>
      </c>
      <c r="O137" s="8">
        <f>DATE(2024,10,4)</f>
        <v>45569</v>
      </c>
      <c r="P137" s="1">
        <v>1200</v>
      </c>
      <c r="Q137" s="1">
        <v>800</v>
      </c>
      <c r="R137" s="1">
        <f t="shared" si="38"/>
        <v>800</v>
      </c>
      <c r="S137" s="1">
        <v>1.5</v>
      </c>
      <c r="U137" s="1">
        <f t="shared" si="39"/>
        <v>553</v>
      </c>
      <c r="V137" s="7">
        <f t="shared" si="40"/>
        <v>1.4466546112115732</v>
      </c>
      <c r="W137" s="7">
        <f t="shared" si="41"/>
        <v>528.02893309222418</v>
      </c>
      <c r="X137" s="7">
        <f t="shared" si="42"/>
        <v>0.66003616636528017</v>
      </c>
      <c r="AA137" s="8">
        <f t="shared" si="43"/>
        <v>44927</v>
      </c>
      <c r="AB137" s="8">
        <f t="shared" si="44"/>
        <v>45291</v>
      </c>
      <c r="AC137" s="1">
        <v>22</v>
      </c>
      <c r="AD137" s="1">
        <f t="shared" si="45"/>
        <v>0</v>
      </c>
      <c r="AE137" s="1">
        <f t="shared" si="46"/>
        <v>275</v>
      </c>
      <c r="AF137" s="1">
        <f t="shared" si="47"/>
        <v>0</v>
      </c>
      <c r="AG137" s="1">
        <f t="shared" si="48"/>
        <v>0</v>
      </c>
      <c r="AH137" s="1">
        <f t="shared" si="49"/>
        <v>0</v>
      </c>
      <c r="AI137" s="5">
        <f t="shared" si="50"/>
        <v>0.75342465753424659</v>
      </c>
      <c r="AJ137" s="5">
        <f t="shared" si="51"/>
        <v>0.49728752260397824</v>
      </c>
      <c r="AK137" s="5">
        <f t="shared" si="52"/>
        <v>10.940325497287521</v>
      </c>
      <c r="AL137" s="5">
        <f t="shared" si="53"/>
        <v>16.410488245931283</v>
      </c>
      <c r="AM137" s="5">
        <f t="shared" si="54"/>
        <v>0</v>
      </c>
      <c r="AN137" s="5">
        <f t="shared" si="55"/>
        <v>16.410488245931283</v>
      </c>
      <c r="AO137" s="1" t="s">
        <v>122</v>
      </c>
    </row>
    <row r="138" spans="1:41" x14ac:dyDescent="0.25">
      <c r="A138" s="1" t="s">
        <v>19</v>
      </c>
      <c r="B138" s="1" t="s">
        <v>29</v>
      </c>
      <c r="C138" s="1" t="s">
        <v>21</v>
      </c>
      <c r="D138" s="1" t="s">
        <v>30</v>
      </c>
      <c r="E138" s="1" t="s">
        <v>96</v>
      </c>
      <c r="F138" s="1" t="s">
        <v>103</v>
      </c>
      <c r="G138" s="1" t="s">
        <v>114</v>
      </c>
      <c r="H138" s="1" t="s">
        <v>293</v>
      </c>
      <c r="I138" s="1" t="s">
        <v>105</v>
      </c>
      <c r="J138" s="1" t="s">
        <v>106</v>
      </c>
      <c r="K138" s="1" t="s">
        <v>175</v>
      </c>
      <c r="L138" s="1">
        <v>751</v>
      </c>
      <c r="M138" s="1" t="s">
        <v>294</v>
      </c>
      <c r="N138" s="8">
        <f>DATE(2009,2,9)</f>
        <v>39853</v>
      </c>
      <c r="O138" s="8">
        <f>DATE(2010,12,17)</f>
        <v>40529</v>
      </c>
      <c r="P138" s="1">
        <v>1600</v>
      </c>
      <c r="Q138" s="1">
        <v>1200</v>
      </c>
      <c r="R138" s="1">
        <f t="shared" si="38"/>
        <v>1200</v>
      </c>
      <c r="S138" s="1">
        <v>2</v>
      </c>
      <c r="U138" s="1">
        <f t="shared" si="39"/>
        <v>677</v>
      </c>
      <c r="V138" s="7">
        <f t="shared" si="40"/>
        <v>1.7725258493353029</v>
      </c>
      <c r="W138" s="7">
        <f t="shared" si="41"/>
        <v>646.97193500738558</v>
      </c>
      <c r="X138" s="7">
        <f t="shared" si="42"/>
        <v>0.80871491875923196</v>
      </c>
      <c r="AA138" s="8">
        <f t="shared" si="43"/>
        <v>44927</v>
      </c>
      <c r="AB138" s="8">
        <f t="shared" si="44"/>
        <v>45291</v>
      </c>
      <c r="AC138" s="1">
        <v>1</v>
      </c>
      <c r="AD138" s="1">
        <f t="shared" si="45"/>
        <v>0</v>
      </c>
      <c r="AE138" s="1">
        <f t="shared" si="46"/>
        <v>0</v>
      </c>
      <c r="AF138" s="1">
        <f t="shared" si="47"/>
        <v>0</v>
      </c>
      <c r="AG138" s="1">
        <f t="shared" si="48"/>
        <v>0</v>
      </c>
      <c r="AH138" s="1">
        <f t="shared" si="49"/>
        <v>182.5</v>
      </c>
      <c r="AI138" s="5">
        <f t="shared" si="50"/>
        <v>0.5</v>
      </c>
      <c r="AJ138" s="5">
        <f t="shared" si="51"/>
        <v>0.40435745937961598</v>
      </c>
      <c r="AK138" s="5">
        <f t="shared" si="52"/>
        <v>0</v>
      </c>
      <c r="AL138" s="5">
        <f t="shared" si="53"/>
        <v>0</v>
      </c>
      <c r="AM138" s="5">
        <f t="shared" si="54"/>
        <v>0</v>
      </c>
      <c r="AN138" s="5">
        <f t="shared" si="55"/>
        <v>0</v>
      </c>
      <c r="AO138" s="1" t="s">
        <v>102</v>
      </c>
    </row>
    <row r="139" spans="1:41" x14ac:dyDescent="0.25">
      <c r="A139" s="1" t="s">
        <v>19</v>
      </c>
      <c r="B139" s="1" t="s">
        <v>29</v>
      </c>
      <c r="C139" s="1" t="s">
        <v>21</v>
      </c>
      <c r="D139" s="1" t="s">
        <v>30</v>
      </c>
      <c r="E139" s="1" t="s">
        <v>96</v>
      </c>
      <c r="F139" s="1" t="s">
        <v>103</v>
      </c>
      <c r="G139" s="1" t="s">
        <v>98</v>
      </c>
      <c r="H139" s="1" t="s">
        <v>295</v>
      </c>
      <c r="I139" s="1" t="s">
        <v>105</v>
      </c>
      <c r="J139" s="1" t="s">
        <v>106</v>
      </c>
      <c r="L139" s="1">
        <v>1252171</v>
      </c>
      <c r="M139" s="1" t="s">
        <v>296</v>
      </c>
      <c r="N139" s="8">
        <f>DATE(2012,2,14)</f>
        <v>40953</v>
      </c>
      <c r="O139" s="8">
        <f>DATE(2016,12,14)</f>
        <v>42718</v>
      </c>
      <c r="P139" s="1">
        <v>4200</v>
      </c>
      <c r="Q139" s="1">
        <v>3600</v>
      </c>
      <c r="R139" s="1">
        <f t="shared" si="38"/>
        <v>3600</v>
      </c>
      <c r="S139" s="1">
        <v>2.5</v>
      </c>
      <c r="U139" s="1">
        <f t="shared" si="39"/>
        <v>1766</v>
      </c>
      <c r="V139" s="7">
        <f t="shared" si="40"/>
        <v>2.0385050962627407</v>
      </c>
      <c r="W139" s="7">
        <f t="shared" si="41"/>
        <v>744.05436013590031</v>
      </c>
      <c r="X139" s="7">
        <f t="shared" si="42"/>
        <v>0.93006795016987542</v>
      </c>
      <c r="AA139" s="8">
        <f t="shared" si="43"/>
        <v>44927</v>
      </c>
      <c r="AB139" s="8">
        <f t="shared" si="44"/>
        <v>45291</v>
      </c>
      <c r="AC139" s="1">
        <v>1</v>
      </c>
      <c r="AD139" s="1">
        <f t="shared" si="45"/>
        <v>0</v>
      </c>
      <c r="AE139" s="1">
        <f t="shared" si="46"/>
        <v>0</v>
      </c>
      <c r="AF139" s="1">
        <f t="shared" si="47"/>
        <v>0</v>
      </c>
      <c r="AG139" s="1">
        <f t="shared" si="48"/>
        <v>0</v>
      </c>
      <c r="AH139" s="1">
        <f t="shared" si="49"/>
        <v>182.5</v>
      </c>
      <c r="AI139" s="5">
        <f t="shared" si="50"/>
        <v>0.5</v>
      </c>
      <c r="AJ139" s="5">
        <f t="shared" si="51"/>
        <v>0.46503397508493771</v>
      </c>
      <c r="AK139" s="5">
        <f t="shared" si="52"/>
        <v>0</v>
      </c>
      <c r="AL139" s="5">
        <f t="shared" si="53"/>
        <v>0</v>
      </c>
      <c r="AM139" s="5">
        <f t="shared" si="54"/>
        <v>0</v>
      </c>
      <c r="AN139" s="5">
        <f t="shared" si="55"/>
        <v>0</v>
      </c>
      <c r="AO139" s="1" t="s">
        <v>102</v>
      </c>
    </row>
    <row r="140" spans="1:41" x14ac:dyDescent="0.25">
      <c r="A140" s="1" t="s">
        <v>19</v>
      </c>
      <c r="B140" s="1" t="s">
        <v>29</v>
      </c>
      <c r="C140" s="1" t="s">
        <v>21</v>
      </c>
      <c r="D140" s="1" t="s">
        <v>30</v>
      </c>
      <c r="E140" s="1" t="s">
        <v>96</v>
      </c>
      <c r="F140" s="1" t="s">
        <v>103</v>
      </c>
      <c r="G140" s="1" t="s">
        <v>98</v>
      </c>
      <c r="H140" s="1" t="s">
        <v>295</v>
      </c>
      <c r="I140" s="1" t="s">
        <v>105</v>
      </c>
      <c r="J140" s="1" t="s">
        <v>106</v>
      </c>
      <c r="L140" s="1">
        <v>1781796</v>
      </c>
      <c r="M140" s="1" t="s">
        <v>297</v>
      </c>
      <c r="N140" s="8">
        <f>DATE(2013,5,27)</f>
        <v>41421</v>
      </c>
      <c r="O140" s="8">
        <f>DATE(2017,12,31)</f>
        <v>43100</v>
      </c>
      <c r="P140" s="1">
        <v>4500</v>
      </c>
      <c r="Q140" s="1">
        <v>3600</v>
      </c>
      <c r="R140" s="1">
        <f t="shared" si="38"/>
        <v>3600</v>
      </c>
      <c r="S140" s="1">
        <v>2.5</v>
      </c>
      <c r="U140" s="1">
        <f t="shared" si="39"/>
        <v>1680</v>
      </c>
      <c r="V140" s="7">
        <f t="shared" si="40"/>
        <v>2.1428571428571428</v>
      </c>
      <c r="W140" s="7">
        <f t="shared" si="41"/>
        <v>782.14285714285711</v>
      </c>
      <c r="X140" s="7">
        <f t="shared" si="42"/>
        <v>0.9776785714285714</v>
      </c>
      <c r="AA140" s="8">
        <f t="shared" si="43"/>
        <v>44927</v>
      </c>
      <c r="AB140" s="8">
        <f t="shared" si="44"/>
        <v>45291</v>
      </c>
      <c r="AC140" s="1">
        <v>2</v>
      </c>
      <c r="AD140" s="1">
        <f t="shared" si="45"/>
        <v>0</v>
      </c>
      <c r="AE140" s="1">
        <f t="shared" si="46"/>
        <v>0</v>
      </c>
      <c r="AF140" s="1">
        <f t="shared" si="47"/>
        <v>0</v>
      </c>
      <c r="AG140" s="1">
        <f t="shared" si="48"/>
        <v>0</v>
      </c>
      <c r="AH140" s="1">
        <f t="shared" si="49"/>
        <v>182.5</v>
      </c>
      <c r="AI140" s="5">
        <f t="shared" si="50"/>
        <v>0.5</v>
      </c>
      <c r="AJ140" s="5">
        <f t="shared" si="51"/>
        <v>0.4888392857142857</v>
      </c>
      <c r="AK140" s="5">
        <f t="shared" si="52"/>
        <v>0</v>
      </c>
      <c r="AL140" s="5">
        <f t="shared" si="53"/>
        <v>0</v>
      </c>
      <c r="AM140" s="5">
        <f t="shared" si="54"/>
        <v>0</v>
      </c>
      <c r="AN140" s="5">
        <f t="shared" si="55"/>
        <v>0</v>
      </c>
      <c r="AO140" s="1" t="s">
        <v>102</v>
      </c>
    </row>
    <row r="141" spans="1:41" x14ac:dyDescent="0.25">
      <c r="A141" s="1" t="s">
        <v>19</v>
      </c>
      <c r="B141" s="1" t="s">
        <v>29</v>
      </c>
      <c r="C141" s="1" t="s">
        <v>21</v>
      </c>
      <c r="D141" s="1" t="s">
        <v>30</v>
      </c>
      <c r="E141" s="1" t="s">
        <v>96</v>
      </c>
      <c r="F141" s="1" t="s">
        <v>103</v>
      </c>
      <c r="G141" s="1" t="s">
        <v>98</v>
      </c>
      <c r="H141" s="1" t="s">
        <v>295</v>
      </c>
      <c r="I141" s="1" t="s">
        <v>105</v>
      </c>
      <c r="J141" s="1" t="s">
        <v>106</v>
      </c>
      <c r="L141" s="1">
        <v>1949817</v>
      </c>
      <c r="M141" s="1" t="s">
        <v>298</v>
      </c>
      <c r="N141" s="8">
        <f>DATE(2014,5,7)</f>
        <v>41766</v>
      </c>
      <c r="O141" s="8">
        <f>DATE(2018,12,31)</f>
        <v>43465</v>
      </c>
      <c r="P141" s="1">
        <v>4500</v>
      </c>
      <c r="Q141" s="1">
        <v>3600</v>
      </c>
      <c r="R141" s="1">
        <f t="shared" si="38"/>
        <v>3600</v>
      </c>
      <c r="S141" s="1">
        <v>2.5</v>
      </c>
      <c r="U141" s="1">
        <f t="shared" si="39"/>
        <v>1700</v>
      </c>
      <c r="V141" s="7">
        <f t="shared" si="40"/>
        <v>2.1176470588235294</v>
      </c>
      <c r="W141" s="7">
        <f t="shared" si="41"/>
        <v>772.94117647058829</v>
      </c>
      <c r="X141" s="7">
        <f t="shared" si="42"/>
        <v>0.96617647058823541</v>
      </c>
      <c r="AA141" s="8">
        <f t="shared" si="43"/>
        <v>44927</v>
      </c>
      <c r="AB141" s="8">
        <f t="shared" si="44"/>
        <v>45291</v>
      </c>
      <c r="AC141" s="1">
        <v>1</v>
      </c>
      <c r="AD141" s="1">
        <f t="shared" si="45"/>
        <v>0</v>
      </c>
      <c r="AE141" s="1">
        <f t="shared" si="46"/>
        <v>0</v>
      </c>
      <c r="AF141" s="1">
        <f t="shared" si="47"/>
        <v>0</v>
      </c>
      <c r="AG141" s="1">
        <f t="shared" si="48"/>
        <v>0</v>
      </c>
      <c r="AH141" s="1">
        <f t="shared" si="49"/>
        <v>182.5</v>
      </c>
      <c r="AI141" s="5">
        <f t="shared" si="50"/>
        <v>0.5</v>
      </c>
      <c r="AJ141" s="5">
        <f t="shared" si="51"/>
        <v>0.48308823529411771</v>
      </c>
      <c r="AK141" s="5">
        <f t="shared" si="52"/>
        <v>0</v>
      </c>
      <c r="AL141" s="5">
        <f t="shared" si="53"/>
        <v>0</v>
      </c>
      <c r="AM141" s="5">
        <f t="shared" si="54"/>
        <v>0</v>
      </c>
      <c r="AN141" s="5">
        <f t="shared" si="55"/>
        <v>0</v>
      </c>
      <c r="AO141" s="1" t="s">
        <v>102</v>
      </c>
    </row>
    <row r="142" spans="1:41" x14ac:dyDescent="0.25">
      <c r="A142" s="1" t="s">
        <v>19</v>
      </c>
      <c r="B142" s="1" t="s">
        <v>29</v>
      </c>
      <c r="C142" s="1" t="s">
        <v>21</v>
      </c>
      <c r="D142" s="1" t="s">
        <v>30</v>
      </c>
      <c r="E142" s="1" t="s">
        <v>96</v>
      </c>
      <c r="F142" s="1" t="s">
        <v>103</v>
      </c>
      <c r="G142" s="1" t="s">
        <v>98</v>
      </c>
      <c r="H142" s="1" t="s">
        <v>295</v>
      </c>
      <c r="I142" s="1" t="s">
        <v>105</v>
      </c>
      <c r="J142" s="1" t="s">
        <v>106</v>
      </c>
      <c r="L142" s="1">
        <v>1983153</v>
      </c>
      <c r="M142" s="1" t="s">
        <v>299</v>
      </c>
      <c r="N142" s="8">
        <f>DATE(2015,4,27)</f>
        <v>42121</v>
      </c>
      <c r="O142" s="8">
        <f>DATE(2019,12,31)</f>
        <v>43830</v>
      </c>
      <c r="P142" s="1">
        <v>4500</v>
      </c>
      <c r="Q142" s="1">
        <v>3600</v>
      </c>
      <c r="R142" s="1">
        <f t="shared" si="38"/>
        <v>3600</v>
      </c>
      <c r="S142" s="1">
        <v>2.5</v>
      </c>
      <c r="U142" s="1">
        <f t="shared" si="39"/>
        <v>1710</v>
      </c>
      <c r="V142" s="7">
        <f t="shared" si="40"/>
        <v>2.1052631578947367</v>
      </c>
      <c r="W142" s="7">
        <f t="shared" si="41"/>
        <v>768.42105263157896</v>
      </c>
      <c r="X142" s="7">
        <f t="shared" si="42"/>
        <v>0.96052631578947367</v>
      </c>
      <c r="AA142" s="8">
        <f t="shared" si="43"/>
        <v>44927</v>
      </c>
      <c r="AB142" s="8">
        <f t="shared" si="44"/>
        <v>45291</v>
      </c>
      <c r="AC142" s="1">
        <v>2</v>
      </c>
      <c r="AD142" s="1">
        <f t="shared" si="45"/>
        <v>0</v>
      </c>
      <c r="AE142" s="1">
        <f t="shared" si="46"/>
        <v>0</v>
      </c>
      <c r="AF142" s="1">
        <f t="shared" si="47"/>
        <v>0</v>
      </c>
      <c r="AG142" s="1">
        <f t="shared" si="48"/>
        <v>0</v>
      </c>
      <c r="AH142" s="1">
        <f t="shared" si="49"/>
        <v>182.5</v>
      </c>
      <c r="AI142" s="5">
        <f t="shared" si="50"/>
        <v>0.5</v>
      </c>
      <c r="AJ142" s="5">
        <f t="shared" si="51"/>
        <v>0.48026315789473684</v>
      </c>
      <c r="AK142" s="5">
        <f t="shared" si="52"/>
        <v>0</v>
      </c>
      <c r="AL142" s="5">
        <f t="shared" si="53"/>
        <v>0</v>
      </c>
      <c r="AM142" s="5">
        <f t="shared" si="54"/>
        <v>0</v>
      </c>
      <c r="AN142" s="5">
        <f t="shared" si="55"/>
        <v>0</v>
      </c>
      <c r="AO142" s="1" t="s">
        <v>102</v>
      </c>
    </row>
    <row r="143" spans="1:41" x14ac:dyDescent="0.25">
      <c r="A143" s="1" t="s">
        <v>19</v>
      </c>
      <c r="B143" s="1" t="s">
        <v>29</v>
      </c>
      <c r="C143" s="1" t="s">
        <v>21</v>
      </c>
      <c r="D143" s="1" t="s">
        <v>30</v>
      </c>
      <c r="E143" s="1" t="s">
        <v>96</v>
      </c>
      <c r="F143" s="1" t="s">
        <v>103</v>
      </c>
      <c r="G143" s="1" t="s">
        <v>155</v>
      </c>
      <c r="H143" s="1" t="s">
        <v>300</v>
      </c>
      <c r="I143" s="1" t="s">
        <v>105</v>
      </c>
      <c r="J143" s="1" t="s">
        <v>101</v>
      </c>
      <c r="K143" s="1" t="s">
        <v>163</v>
      </c>
      <c r="L143" s="1">
        <v>2025289</v>
      </c>
      <c r="M143" s="1" t="s">
        <v>301</v>
      </c>
      <c r="N143" s="8">
        <f>DATE(2016,3,14)</f>
        <v>42443</v>
      </c>
      <c r="O143" s="8">
        <f>DATE(2016,8,5)</f>
        <v>42587</v>
      </c>
      <c r="P143" s="1">
        <v>204</v>
      </c>
      <c r="Q143" s="1">
        <v>160</v>
      </c>
      <c r="R143" s="1">
        <f t="shared" si="38"/>
        <v>204</v>
      </c>
      <c r="S143" s="1">
        <v>1</v>
      </c>
      <c r="U143" s="1">
        <f t="shared" si="39"/>
        <v>145</v>
      </c>
      <c r="V143" s="7">
        <f t="shared" si="40"/>
        <v>1.4068965517241379</v>
      </c>
      <c r="W143" s="7">
        <f t="shared" si="41"/>
        <v>204</v>
      </c>
      <c r="X143" s="7">
        <f t="shared" si="42"/>
        <v>0.255</v>
      </c>
      <c r="AA143" s="8">
        <f t="shared" si="43"/>
        <v>44927</v>
      </c>
      <c r="AB143" s="8">
        <f t="shared" si="44"/>
        <v>45291</v>
      </c>
      <c r="AC143" s="1">
        <v>0</v>
      </c>
      <c r="AD143" s="1">
        <f t="shared" si="45"/>
        <v>0</v>
      </c>
      <c r="AE143" s="1">
        <f t="shared" si="46"/>
        <v>0</v>
      </c>
      <c r="AF143" s="1">
        <f t="shared" si="47"/>
        <v>0</v>
      </c>
      <c r="AG143" s="1">
        <f t="shared" si="48"/>
        <v>0</v>
      </c>
      <c r="AH143" s="1">
        <f t="shared" si="49"/>
        <v>182.5</v>
      </c>
      <c r="AI143" s="5">
        <f t="shared" si="50"/>
        <v>1.2586206896551724</v>
      </c>
      <c r="AJ143" s="5">
        <f t="shared" si="51"/>
        <v>0.32094827586206898</v>
      </c>
      <c r="AK143" s="5">
        <f t="shared" si="52"/>
        <v>0</v>
      </c>
      <c r="AL143" s="5">
        <f t="shared" si="53"/>
        <v>0</v>
      </c>
      <c r="AM143" s="5">
        <f t="shared" si="54"/>
        <v>0</v>
      </c>
      <c r="AN143" s="5">
        <f t="shared" si="55"/>
        <v>0</v>
      </c>
      <c r="AO143" s="1" t="s">
        <v>102</v>
      </c>
    </row>
    <row r="144" spans="1:41" x14ac:dyDescent="0.25">
      <c r="A144" s="1" t="s">
        <v>19</v>
      </c>
      <c r="B144" s="1" t="s">
        <v>29</v>
      </c>
      <c r="C144" s="1" t="s">
        <v>21</v>
      </c>
      <c r="D144" s="1" t="s">
        <v>30</v>
      </c>
      <c r="E144" s="1" t="s">
        <v>96</v>
      </c>
      <c r="F144" s="1" t="s">
        <v>103</v>
      </c>
      <c r="G144" s="1" t="s">
        <v>98</v>
      </c>
      <c r="H144" s="1" t="s">
        <v>295</v>
      </c>
      <c r="I144" s="1" t="s">
        <v>105</v>
      </c>
      <c r="J144" s="1" t="s">
        <v>106</v>
      </c>
      <c r="L144" s="1">
        <v>2024866</v>
      </c>
      <c r="M144" s="1" t="s">
        <v>302</v>
      </c>
      <c r="N144" s="8">
        <f>DATE(2016,6,13)</f>
        <v>42534</v>
      </c>
      <c r="O144" s="8">
        <f>DATE(2020,12,31)</f>
        <v>44196</v>
      </c>
      <c r="P144" s="1">
        <v>4500</v>
      </c>
      <c r="Q144" s="1">
        <v>3600</v>
      </c>
      <c r="R144" s="1">
        <f t="shared" si="38"/>
        <v>3600</v>
      </c>
      <c r="S144" s="1">
        <v>2.5</v>
      </c>
      <c r="U144" s="1">
        <f t="shared" si="39"/>
        <v>1663</v>
      </c>
      <c r="V144" s="7">
        <f t="shared" si="40"/>
        <v>2.1647624774503909</v>
      </c>
      <c r="W144" s="7">
        <f t="shared" si="41"/>
        <v>790.13830426939262</v>
      </c>
      <c r="X144" s="7">
        <f t="shared" si="42"/>
        <v>0.98767288033674072</v>
      </c>
      <c r="AA144" s="8">
        <f t="shared" si="43"/>
        <v>44927</v>
      </c>
      <c r="AB144" s="8">
        <f t="shared" si="44"/>
        <v>45291</v>
      </c>
      <c r="AC144" s="1">
        <v>4</v>
      </c>
      <c r="AD144" s="1">
        <f t="shared" si="45"/>
        <v>0</v>
      </c>
      <c r="AE144" s="1">
        <f t="shared" si="46"/>
        <v>0</v>
      </c>
      <c r="AF144" s="1">
        <f t="shared" si="47"/>
        <v>0</v>
      </c>
      <c r="AG144" s="1">
        <f t="shared" si="48"/>
        <v>0</v>
      </c>
      <c r="AH144" s="1">
        <f t="shared" si="49"/>
        <v>182.5</v>
      </c>
      <c r="AI144" s="5">
        <f t="shared" si="50"/>
        <v>0.5</v>
      </c>
      <c r="AJ144" s="5">
        <f t="shared" si="51"/>
        <v>0.49383644016837036</v>
      </c>
      <c r="AK144" s="5">
        <f t="shared" si="52"/>
        <v>0.98767288033674072</v>
      </c>
      <c r="AL144" s="5">
        <f t="shared" si="53"/>
        <v>2.4691822008418516</v>
      </c>
      <c r="AM144" s="5">
        <f t="shared" si="54"/>
        <v>1.2345911004209258</v>
      </c>
      <c r="AN144" s="5">
        <f t="shared" si="55"/>
        <v>3.7037733012627774</v>
      </c>
      <c r="AO144" s="1" t="s">
        <v>102</v>
      </c>
    </row>
    <row r="145" spans="1:41" x14ac:dyDescent="0.25">
      <c r="A145" s="1" t="s">
        <v>19</v>
      </c>
      <c r="B145" s="1" t="s">
        <v>29</v>
      </c>
      <c r="C145" s="1" t="s">
        <v>21</v>
      </c>
      <c r="D145" s="1" t="s">
        <v>30</v>
      </c>
      <c r="E145" s="1" t="s">
        <v>96</v>
      </c>
      <c r="F145" s="1" t="s">
        <v>103</v>
      </c>
      <c r="G145" s="1" t="s">
        <v>98</v>
      </c>
      <c r="H145" s="1" t="s">
        <v>295</v>
      </c>
      <c r="I145" s="1" t="s">
        <v>105</v>
      </c>
      <c r="J145" s="1" t="s">
        <v>106</v>
      </c>
      <c r="L145" s="1">
        <v>2152754</v>
      </c>
      <c r="M145" s="1" t="s">
        <v>303</v>
      </c>
      <c r="N145" s="8">
        <f>DATE(2017,3,1)</f>
        <v>42795</v>
      </c>
      <c r="O145" s="8">
        <f>DATE(2021,6,1)</f>
        <v>44348</v>
      </c>
      <c r="P145" s="1">
        <v>4500</v>
      </c>
      <c r="Q145" s="1">
        <v>3600</v>
      </c>
      <c r="R145" s="1">
        <f t="shared" si="38"/>
        <v>3600</v>
      </c>
      <c r="S145" s="1">
        <v>2.5</v>
      </c>
      <c r="U145" s="1">
        <f t="shared" si="39"/>
        <v>1554</v>
      </c>
      <c r="V145" s="7">
        <f t="shared" si="40"/>
        <v>2.3166023166023164</v>
      </c>
      <c r="W145" s="7">
        <f t="shared" si="41"/>
        <v>845.55984555984548</v>
      </c>
      <c r="X145" s="7">
        <f t="shared" si="42"/>
        <v>1.0569498069498069</v>
      </c>
      <c r="AA145" s="8">
        <f t="shared" si="43"/>
        <v>44927</v>
      </c>
      <c r="AB145" s="8">
        <f t="shared" si="44"/>
        <v>45291</v>
      </c>
      <c r="AC145" s="1">
        <v>4</v>
      </c>
      <c r="AD145" s="1">
        <f t="shared" si="45"/>
        <v>0</v>
      </c>
      <c r="AE145" s="1">
        <f t="shared" si="46"/>
        <v>0</v>
      </c>
      <c r="AF145" s="1">
        <f t="shared" si="47"/>
        <v>0</v>
      </c>
      <c r="AG145" s="1">
        <f t="shared" si="48"/>
        <v>0</v>
      </c>
      <c r="AH145" s="1">
        <f t="shared" si="49"/>
        <v>182.5</v>
      </c>
      <c r="AI145" s="5">
        <f t="shared" si="50"/>
        <v>0.5</v>
      </c>
      <c r="AJ145" s="5">
        <f t="shared" si="51"/>
        <v>0.52847490347490345</v>
      </c>
      <c r="AK145" s="5">
        <f t="shared" si="52"/>
        <v>1.0569498069498069</v>
      </c>
      <c r="AL145" s="5">
        <f t="shared" si="53"/>
        <v>2.6423745173745172</v>
      </c>
      <c r="AM145" s="5">
        <f t="shared" si="54"/>
        <v>1.3211872586872586</v>
      </c>
      <c r="AN145" s="5">
        <f t="shared" si="55"/>
        <v>3.9635617760617761</v>
      </c>
      <c r="AO145" s="1" t="s">
        <v>102</v>
      </c>
    </row>
    <row r="146" spans="1:41" x14ac:dyDescent="0.25">
      <c r="A146" s="1" t="s">
        <v>19</v>
      </c>
      <c r="B146" s="1" t="s">
        <v>29</v>
      </c>
      <c r="C146" s="1" t="s">
        <v>21</v>
      </c>
      <c r="D146" s="1" t="s">
        <v>30</v>
      </c>
      <c r="E146" s="1" t="s">
        <v>96</v>
      </c>
      <c r="F146" s="1" t="s">
        <v>103</v>
      </c>
      <c r="G146" s="1" t="s">
        <v>114</v>
      </c>
      <c r="H146" s="1" t="s">
        <v>119</v>
      </c>
      <c r="I146" s="1" t="s">
        <v>105</v>
      </c>
      <c r="J146" s="1" t="s">
        <v>106</v>
      </c>
      <c r="K146" s="1" t="s">
        <v>116</v>
      </c>
      <c r="L146" s="1">
        <v>2468422</v>
      </c>
      <c r="M146" s="1" t="s">
        <v>304</v>
      </c>
      <c r="N146" s="8">
        <f>DATE(2018,1,29)</f>
        <v>43129</v>
      </c>
      <c r="O146" s="8">
        <f>DATE(2020,12,31)</f>
        <v>44196</v>
      </c>
      <c r="P146" s="1">
        <v>4570</v>
      </c>
      <c r="Q146" s="1">
        <v>1200</v>
      </c>
      <c r="R146" s="1">
        <f t="shared" si="38"/>
        <v>3200</v>
      </c>
      <c r="S146" s="1">
        <v>2.5</v>
      </c>
      <c r="U146" s="1">
        <f t="shared" si="39"/>
        <v>1068</v>
      </c>
      <c r="V146" s="7">
        <f t="shared" si="40"/>
        <v>2.9962546816479403</v>
      </c>
      <c r="W146" s="7">
        <f t="shared" si="41"/>
        <v>1093.6329588014983</v>
      </c>
      <c r="X146" s="7">
        <f t="shared" si="42"/>
        <v>1.3670411985018729</v>
      </c>
      <c r="AA146" s="8">
        <f t="shared" si="43"/>
        <v>44927</v>
      </c>
      <c r="AB146" s="8">
        <f t="shared" si="44"/>
        <v>45291</v>
      </c>
      <c r="AC146" s="1">
        <v>1</v>
      </c>
      <c r="AD146" s="1">
        <f t="shared" si="45"/>
        <v>0</v>
      </c>
      <c r="AE146" s="1">
        <f t="shared" si="46"/>
        <v>0</v>
      </c>
      <c r="AF146" s="1">
        <f t="shared" si="47"/>
        <v>0</v>
      </c>
      <c r="AG146" s="1">
        <f t="shared" si="48"/>
        <v>0</v>
      </c>
      <c r="AH146" s="1">
        <f t="shared" si="49"/>
        <v>182.5</v>
      </c>
      <c r="AI146" s="5">
        <f t="shared" si="50"/>
        <v>0.5</v>
      </c>
      <c r="AJ146" s="5">
        <f t="shared" si="51"/>
        <v>0.68352059925093644</v>
      </c>
      <c r="AK146" s="5">
        <f t="shared" si="52"/>
        <v>0.34176029962546822</v>
      </c>
      <c r="AL146" s="5">
        <f t="shared" si="53"/>
        <v>0.85440074906367058</v>
      </c>
      <c r="AM146" s="5">
        <f t="shared" si="54"/>
        <v>0.42720037453183529</v>
      </c>
      <c r="AN146" s="5">
        <f t="shared" si="55"/>
        <v>1.2816011235955058</v>
      </c>
      <c r="AO146" s="1" t="s">
        <v>102</v>
      </c>
    </row>
    <row r="147" spans="1:41" x14ac:dyDescent="0.25">
      <c r="A147" s="1" t="s">
        <v>19</v>
      </c>
      <c r="B147" s="1" t="s">
        <v>29</v>
      </c>
      <c r="C147" s="1" t="s">
        <v>21</v>
      </c>
      <c r="D147" s="1" t="s">
        <v>30</v>
      </c>
      <c r="E147" s="1" t="s">
        <v>96</v>
      </c>
      <c r="F147" s="1" t="s">
        <v>103</v>
      </c>
      <c r="G147" s="1" t="s">
        <v>114</v>
      </c>
      <c r="H147" s="1" t="s">
        <v>247</v>
      </c>
      <c r="I147" s="1" t="s">
        <v>162</v>
      </c>
      <c r="J147" s="1" t="s">
        <v>101</v>
      </c>
      <c r="K147" s="1" t="s">
        <v>116</v>
      </c>
      <c r="L147" s="1">
        <v>2468423</v>
      </c>
      <c r="M147" s="1" t="s">
        <v>305</v>
      </c>
      <c r="N147" s="8">
        <f>DATE(2018,1,29)</f>
        <v>43129</v>
      </c>
      <c r="O147" s="8">
        <f>DATE(2020,12,31)</f>
        <v>44196</v>
      </c>
      <c r="P147" s="1">
        <v>4080</v>
      </c>
      <c r="Q147" s="1">
        <v>1200</v>
      </c>
      <c r="R147" s="1">
        <f t="shared" si="38"/>
        <v>3200</v>
      </c>
      <c r="S147" s="1">
        <v>1.5</v>
      </c>
      <c r="U147" s="1">
        <f t="shared" si="39"/>
        <v>1068</v>
      </c>
      <c r="V147" s="7">
        <f t="shared" si="40"/>
        <v>2.9962546816479403</v>
      </c>
      <c r="W147" s="7">
        <f t="shared" si="41"/>
        <v>1093.6329588014983</v>
      </c>
      <c r="X147" s="7">
        <f t="shared" si="42"/>
        <v>1.3670411985018729</v>
      </c>
      <c r="AA147" s="8">
        <f t="shared" si="43"/>
        <v>44927</v>
      </c>
      <c r="AB147" s="8">
        <f t="shared" si="44"/>
        <v>45291</v>
      </c>
      <c r="AC147" s="1">
        <v>1</v>
      </c>
      <c r="AD147" s="1">
        <f t="shared" si="45"/>
        <v>0</v>
      </c>
      <c r="AE147" s="1">
        <f t="shared" si="46"/>
        <v>0</v>
      </c>
      <c r="AF147" s="1">
        <f t="shared" si="47"/>
        <v>0</v>
      </c>
      <c r="AG147" s="1">
        <f t="shared" si="48"/>
        <v>0</v>
      </c>
      <c r="AH147" s="1">
        <f t="shared" si="49"/>
        <v>182.5</v>
      </c>
      <c r="AI147" s="5">
        <f t="shared" si="50"/>
        <v>0.5</v>
      </c>
      <c r="AJ147" s="5">
        <f t="shared" si="51"/>
        <v>0.68352059925093644</v>
      </c>
      <c r="AK147" s="5">
        <f t="shared" si="52"/>
        <v>0.34176029962546822</v>
      </c>
      <c r="AL147" s="5">
        <f t="shared" si="53"/>
        <v>0.51264044943820231</v>
      </c>
      <c r="AM147" s="5">
        <f t="shared" si="54"/>
        <v>0</v>
      </c>
      <c r="AN147" s="5">
        <f t="shared" si="55"/>
        <v>0.51264044943820231</v>
      </c>
      <c r="AO147" s="1" t="s">
        <v>102</v>
      </c>
    </row>
    <row r="148" spans="1:41" x14ac:dyDescent="0.25">
      <c r="A148" s="1" t="s">
        <v>19</v>
      </c>
      <c r="B148" s="1" t="s">
        <v>29</v>
      </c>
      <c r="C148" s="1" t="s">
        <v>21</v>
      </c>
      <c r="D148" s="1" t="s">
        <v>30</v>
      </c>
      <c r="E148" s="1" t="s">
        <v>96</v>
      </c>
      <c r="F148" s="1" t="s">
        <v>103</v>
      </c>
      <c r="G148" s="1" t="s">
        <v>98</v>
      </c>
      <c r="H148" s="1" t="s">
        <v>295</v>
      </c>
      <c r="I148" s="1" t="s">
        <v>105</v>
      </c>
      <c r="J148" s="1" t="s">
        <v>106</v>
      </c>
      <c r="L148" s="1">
        <v>2470242</v>
      </c>
      <c r="M148" s="1" t="s">
        <v>306</v>
      </c>
      <c r="N148" s="8">
        <f>DATE(2018,2,1)</f>
        <v>43132</v>
      </c>
      <c r="O148" s="8">
        <f>DATE(2022,12,31)</f>
        <v>44926</v>
      </c>
      <c r="P148" s="1">
        <v>4500</v>
      </c>
      <c r="Q148" s="1">
        <v>3600</v>
      </c>
      <c r="R148" s="1">
        <f t="shared" si="38"/>
        <v>3600</v>
      </c>
      <c r="S148" s="1">
        <v>2.5</v>
      </c>
      <c r="U148" s="1">
        <f t="shared" si="39"/>
        <v>1795</v>
      </c>
      <c r="V148" s="7">
        <f t="shared" si="40"/>
        <v>2.0055710306406684</v>
      </c>
      <c r="W148" s="7">
        <f t="shared" si="41"/>
        <v>732.03342618384397</v>
      </c>
      <c r="X148" s="7">
        <f t="shared" si="42"/>
        <v>0.91504178272980496</v>
      </c>
      <c r="AA148" s="8">
        <f t="shared" si="43"/>
        <v>44927</v>
      </c>
      <c r="AB148" s="8">
        <f t="shared" si="44"/>
        <v>45291</v>
      </c>
      <c r="AC148" s="1">
        <v>17</v>
      </c>
      <c r="AD148" s="1">
        <f t="shared" si="45"/>
        <v>0</v>
      </c>
      <c r="AE148" s="1">
        <f t="shared" si="46"/>
        <v>0</v>
      </c>
      <c r="AF148" s="1">
        <f t="shared" si="47"/>
        <v>0</v>
      </c>
      <c r="AG148" s="1">
        <f t="shared" si="48"/>
        <v>0</v>
      </c>
      <c r="AH148" s="1">
        <f t="shared" si="49"/>
        <v>182.5</v>
      </c>
      <c r="AI148" s="5">
        <f t="shared" si="50"/>
        <v>0.5</v>
      </c>
      <c r="AJ148" s="5">
        <f t="shared" si="51"/>
        <v>0.45752089136490248</v>
      </c>
      <c r="AK148" s="5">
        <f t="shared" si="52"/>
        <v>3.8889275766016711</v>
      </c>
      <c r="AL148" s="5">
        <f t="shared" si="53"/>
        <v>9.7223189415041773</v>
      </c>
      <c r="AM148" s="5">
        <f t="shared" si="54"/>
        <v>4.8611594707520887</v>
      </c>
      <c r="AN148" s="5">
        <f t="shared" si="55"/>
        <v>14.583478412256266</v>
      </c>
      <c r="AO148" s="1" t="s">
        <v>102</v>
      </c>
    </row>
    <row r="149" spans="1:41" x14ac:dyDescent="0.25">
      <c r="A149" s="1" t="s">
        <v>19</v>
      </c>
      <c r="B149" s="1" t="s">
        <v>29</v>
      </c>
      <c r="C149" s="1" t="s">
        <v>21</v>
      </c>
      <c r="D149" s="1" t="s">
        <v>30</v>
      </c>
      <c r="E149" s="1" t="s">
        <v>96</v>
      </c>
      <c r="F149" s="1" t="s">
        <v>103</v>
      </c>
      <c r="G149" s="1" t="s">
        <v>127</v>
      </c>
      <c r="H149" s="1" t="s">
        <v>307</v>
      </c>
      <c r="I149" s="1" t="s">
        <v>194</v>
      </c>
      <c r="J149" s="1" t="s">
        <v>101</v>
      </c>
      <c r="L149" s="1">
        <v>2571588</v>
      </c>
      <c r="M149" s="1" t="s">
        <v>308</v>
      </c>
      <c r="N149" s="8">
        <f>DATE(2019,2,4)</f>
        <v>43500</v>
      </c>
      <c r="O149" s="8">
        <f>DATE(2021,12,31)</f>
        <v>44561</v>
      </c>
      <c r="P149" s="1">
        <v>2688</v>
      </c>
      <c r="Q149" s="1">
        <v>2400</v>
      </c>
      <c r="R149" s="1">
        <f t="shared" si="38"/>
        <v>2400</v>
      </c>
      <c r="S149" s="1">
        <v>2.5</v>
      </c>
      <c r="U149" s="1">
        <f t="shared" si="39"/>
        <v>1062</v>
      </c>
      <c r="V149" s="7">
        <f t="shared" si="40"/>
        <v>2.2598870056497176</v>
      </c>
      <c r="W149" s="7">
        <f t="shared" si="41"/>
        <v>824.85875706214688</v>
      </c>
      <c r="X149" s="7">
        <f t="shared" si="42"/>
        <v>1.0310734463276836</v>
      </c>
      <c r="AA149" s="8">
        <f t="shared" si="43"/>
        <v>44927</v>
      </c>
      <c r="AB149" s="8">
        <f t="shared" si="44"/>
        <v>45291</v>
      </c>
      <c r="AC149" s="1">
        <v>2</v>
      </c>
      <c r="AD149" s="1">
        <f t="shared" si="45"/>
        <v>0</v>
      </c>
      <c r="AE149" s="1">
        <f t="shared" si="46"/>
        <v>0</v>
      </c>
      <c r="AF149" s="1">
        <f t="shared" si="47"/>
        <v>0</v>
      </c>
      <c r="AG149" s="1">
        <f t="shared" si="48"/>
        <v>0</v>
      </c>
      <c r="AH149" s="1">
        <f t="shared" si="49"/>
        <v>182.5</v>
      </c>
      <c r="AI149" s="5">
        <f t="shared" si="50"/>
        <v>0.5</v>
      </c>
      <c r="AJ149" s="5">
        <f t="shared" si="51"/>
        <v>0.5155367231638418</v>
      </c>
      <c r="AK149" s="5">
        <f t="shared" si="52"/>
        <v>0.5155367231638418</v>
      </c>
      <c r="AL149" s="5">
        <f t="shared" si="53"/>
        <v>1.2888418079096045</v>
      </c>
      <c r="AM149" s="5">
        <f t="shared" si="54"/>
        <v>0</v>
      </c>
      <c r="AN149" s="5">
        <f t="shared" si="55"/>
        <v>1.2888418079096045</v>
      </c>
      <c r="AO149" s="1" t="s">
        <v>102</v>
      </c>
    </row>
    <row r="150" spans="1:41" x14ac:dyDescent="0.25">
      <c r="A150" s="1" t="s">
        <v>19</v>
      </c>
      <c r="B150" s="1" t="s">
        <v>29</v>
      </c>
      <c r="C150" s="1" t="s">
        <v>21</v>
      </c>
      <c r="D150" s="1" t="s">
        <v>30</v>
      </c>
      <c r="E150" s="1" t="s">
        <v>96</v>
      </c>
      <c r="F150" s="1" t="s">
        <v>103</v>
      </c>
      <c r="G150" s="1" t="s">
        <v>98</v>
      </c>
      <c r="H150" s="1" t="s">
        <v>295</v>
      </c>
      <c r="I150" s="1" t="s">
        <v>105</v>
      </c>
      <c r="J150" s="1" t="s">
        <v>106</v>
      </c>
      <c r="L150" s="1">
        <v>2571591</v>
      </c>
      <c r="M150" s="1" t="s">
        <v>309</v>
      </c>
      <c r="N150" s="8">
        <f>DATE(2019,2,4)</f>
        <v>43500</v>
      </c>
      <c r="O150" s="8">
        <f>DATE(2023,12,31)</f>
        <v>45291</v>
      </c>
      <c r="P150" s="1">
        <v>4500</v>
      </c>
      <c r="Q150" s="1">
        <v>3600</v>
      </c>
      <c r="R150" s="1">
        <f t="shared" si="38"/>
        <v>3600</v>
      </c>
      <c r="S150" s="1">
        <v>2.5</v>
      </c>
      <c r="U150" s="1">
        <f t="shared" si="39"/>
        <v>1792</v>
      </c>
      <c r="V150" s="7">
        <f t="shared" si="40"/>
        <v>2.0089285714285716</v>
      </c>
      <c r="W150" s="7">
        <f t="shared" si="41"/>
        <v>733.25892857142867</v>
      </c>
      <c r="X150" s="7">
        <f t="shared" si="42"/>
        <v>0.91657366071428581</v>
      </c>
      <c r="AA150" s="8">
        <f t="shared" si="43"/>
        <v>44927</v>
      </c>
      <c r="AB150" s="8">
        <f t="shared" si="44"/>
        <v>45291</v>
      </c>
      <c r="AC150" s="1">
        <v>27</v>
      </c>
      <c r="AD150" s="1">
        <f t="shared" si="45"/>
        <v>0</v>
      </c>
      <c r="AE150" s="1">
        <f t="shared" si="46"/>
        <v>0</v>
      </c>
      <c r="AF150" s="1">
        <f t="shared" si="47"/>
        <v>365</v>
      </c>
      <c r="AG150" s="1">
        <f t="shared" si="48"/>
        <v>0</v>
      </c>
      <c r="AH150" s="1">
        <f t="shared" si="49"/>
        <v>0</v>
      </c>
      <c r="AI150" s="5">
        <f t="shared" si="50"/>
        <v>1</v>
      </c>
      <c r="AJ150" s="5">
        <f t="shared" si="51"/>
        <v>0.91657366071428581</v>
      </c>
      <c r="AK150" s="5">
        <f t="shared" si="52"/>
        <v>24.747488839285715</v>
      </c>
      <c r="AL150" s="5">
        <f t="shared" si="53"/>
        <v>61.868722098214292</v>
      </c>
      <c r="AM150" s="5">
        <f t="shared" si="54"/>
        <v>30.934361049107146</v>
      </c>
      <c r="AN150" s="5">
        <f t="shared" si="55"/>
        <v>92.803083147321445</v>
      </c>
      <c r="AO150" s="1" t="s">
        <v>102</v>
      </c>
    </row>
    <row r="151" spans="1:41" x14ac:dyDescent="0.25">
      <c r="A151" s="1" t="s">
        <v>19</v>
      </c>
      <c r="B151" s="1" t="s">
        <v>29</v>
      </c>
      <c r="C151" s="1" t="s">
        <v>21</v>
      </c>
      <c r="D151" s="1" t="s">
        <v>30</v>
      </c>
      <c r="E151" s="1" t="s">
        <v>96</v>
      </c>
      <c r="F151" s="1" t="s">
        <v>103</v>
      </c>
      <c r="G151" s="1" t="s">
        <v>114</v>
      </c>
      <c r="H151" s="1" t="s">
        <v>119</v>
      </c>
      <c r="I151" s="1" t="s">
        <v>105</v>
      </c>
      <c r="J151" s="1" t="s">
        <v>106</v>
      </c>
      <c r="K151" s="1" t="s">
        <v>116</v>
      </c>
      <c r="L151" s="1">
        <v>2571695</v>
      </c>
      <c r="M151" s="1" t="s">
        <v>310</v>
      </c>
      <c r="N151" s="8">
        <f>DATE(2019,2,4)</f>
        <v>43500</v>
      </c>
      <c r="O151" s="8">
        <f>DATE(2021,12,17)</f>
        <v>44547</v>
      </c>
      <c r="P151" s="1">
        <v>3866</v>
      </c>
      <c r="Q151" s="1">
        <v>1200</v>
      </c>
      <c r="R151" s="1">
        <f t="shared" si="38"/>
        <v>3200</v>
      </c>
      <c r="S151" s="1">
        <v>2.5</v>
      </c>
      <c r="U151" s="1">
        <f t="shared" si="39"/>
        <v>1048</v>
      </c>
      <c r="V151" s="7">
        <f t="shared" si="40"/>
        <v>3.053435114503817</v>
      </c>
      <c r="W151" s="7">
        <f t="shared" si="41"/>
        <v>1114.5038167938933</v>
      </c>
      <c r="X151" s="7">
        <f t="shared" si="42"/>
        <v>1.3931297709923667</v>
      </c>
      <c r="AA151" s="8">
        <f t="shared" si="43"/>
        <v>44927</v>
      </c>
      <c r="AB151" s="8">
        <f t="shared" si="44"/>
        <v>45291</v>
      </c>
      <c r="AC151" s="1">
        <v>8</v>
      </c>
      <c r="AD151" s="1">
        <f t="shared" si="45"/>
        <v>0</v>
      </c>
      <c r="AE151" s="1">
        <f t="shared" si="46"/>
        <v>0</v>
      </c>
      <c r="AF151" s="1">
        <f t="shared" si="47"/>
        <v>0</v>
      </c>
      <c r="AG151" s="1">
        <f t="shared" si="48"/>
        <v>0</v>
      </c>
      <c r="AH151" s="1">
        <f t="shared" si="49"/>
        <v>182.5</v>
      </c>
      <c r="AI151" s="5">
        <f t="shared" si="50"/>
        <v>0.5</v>
      </c>
      <c r="AJ151" s="5">
        <f t="shared" si="51"/>
        <v>0.69656488549618334</v>
      </c>
      <c r="AK151" s="5">
        <f t="shared" si="52"/>
        <v>2.7862595419847334</v>
      </c>
      <c r="AL151" s="5">
        <f t="shared" si="53"/>
        <v>6.9656488549618336</v>
      </c>
      <c r="AM151" s="5">
        <f t="shared" si="54"/>
        <v>3.4828244274809168</v>
      </c>
      <c r="AN151" s="5">
        <f t="shared" si="55"/>
        <v>10.44847328244275</v>
      </c>
      <c r="AO151" s="1" t="s">
        <v>102</v>
      </c>
    </row>
    <row r="152" spans="1:41" x14ac:dyDescent="0.25">
      <c r="A152" s="1" t="s">
        <v>19</v>
      </c>
      <c r="B152" s="1" t="s">
        <v>29</v>
      </c>
      <c r="C152" s="1" t="s">
        <v>21</v>
      </c>
      <c r="D152" s="1" t="s">
        <v>30</v>
      </c>
      <c r="E152" s="1" t="s">
        <v>96</v>
      </c>
      <c r="F152" s="1" t="s">
        <v>103</v>
      </c>
      <c r="G152" s="1" t="s">
        <v>114</v>
      </c>
      <c r="H152" s="1" t="s">
        <v>119</v>
      </c>
      <c r="I152" s="1" t="s">
        <v>105</v>
      </c>
      <c r="J152" s="1" t="s">
        <v>106</v>
      </c>
      <c r="K152" s="1" t="s">
        <v>175</v>
      </c>
      <c r="L152" s="1">
        <v>2637838</v>
      </c>
      <c r="M152" s="1" t="s">
        <v>311</v>
      </c>
      <c r="N152" s="8">
        <f>DATE(2019,8,22)</f>
        <v>43699</v>
      </c>
      <c r="O152" s="8">
        <f>DATE(2020,12,31)</f>
        <v>44196</v>
      </c>
      <c r="P152" s="1">
        <v>1418</v>
      </c>
      <c r="Q152" s="1">
        <v>1200</v>
      </c>
      <c r="R152" s="1">
        <f t="shared" si="38"/>
        <v>1200</v>
      </c>
      <c r="S152" s="1">
        <v>2.5</v>
      </c>
      <c r="U152" s="1">
        <f t="shared" si="39"/>
        <v>498</v>
      </c>
      <c r="V152" s="7">
        <f t="shared" si="40"/>
        <v>2.4096385542168677</v>
      </c>
      <c r="W152" s="7">
        <f t="shared" si="41"/>
        <v>879.51807228915675</v>
      </c>
      <c r="X152" s="7">
        <f t="shared" si="42"/>
        <v>1.0993975903614459</v>
      </c>
      <c r="AA152" s="8">
        <f t="shared" si="43"/>
        <v>44927</v>
      </c>
      <c r="AB152" s="8">
        <f t="shared" si="44"/>
        <v>45291</v>
      </c>
      <c r="AC152" s="1">
        <v>1</v>
      </c>
      <c r="AD152" s="1">
        <f t="shared" si="45"/>
        <v>0</v>
      </c>
      <c r="AE152" s="1">
        <f t="shared" si="46"/>
        <v>0</v>
      </c>
      <c r="AF152" s="1">
        <f t="shared" si="47"/>
        <v>0</v>
      </c>
      <c r="AG152" s="1">
        <f t="shared" si="48"/>
        <v>0</v>
      </c>
      <c r="AH152" s="1">
        <f t="shared" si="49"/>
        <v>182.5</v>
      </c>
      <c r="AI152" s="5">
        <f t="shared" si="50"/>
        <v>0.5</v>
      </c>
      <c r="AJ152" s="5">
        <f t="shared" si="51"/>
        <v>0.54969879518072295</v>
      </c>
      <c r="AK152" s="5">
        <f t="shared" si="52"/>
        <v>0.27484939759036148</v>
      </c>
      <c r="AL152" s="5">
        <f t="shared" si="53"/>
        <v>0.68712349397590367</v>
      </c>
      <c r="AM152" s="5">
        <f t="shared" si="54"/>
        <v>0.34356174698795183</v>
      </c>
      <c r="AN152" s="5">
        <f t="shared" si="55"/>
        <v>1.0306852409638556</v>
      </c>
      <c r="AO152" s="1" t="s">
        <v>102</v>
      </c>
    </row>
    <row r="153" spans="1:41" x14ac:dyDescent="0.25">
      <c r="A153" s="1" t="s">
        <v>19</v>
      </c>
      <c r="B153" s="1" t="s">
        <v>29</v>
      </c>
      <c r="C153" s="1" t="s">
        <v>21</v>
      </c>
      <c r="D153" s="1" t="s">
        <v>30</v>
      </c>
      <c r="E153" s="1" t="s">
        <v>96</v>
      </c>
      <c r="F153" s="1" t="s">
        <v>103</v>
      </c>
      <c r="G153" s="1" t="s">
        <v>114</v>
      </c>
      <c r="H153" s="1" t="s">
        <v>119</v>
      </c>
      <c r="I153" s="1" t="s">
        <v>105</v>
      </c>
      <c r="J153" s="1" t="s">
        <v>106</v>
      </c>
      <c r="K153" s="1" t="s">
        <v>116</v>
      </c>
      <c r="L153" s="1">
        <v>2678778</v>
      </c>
      <c r="M153" s="1" t="s">
        <v>312</v>
      </c>
      <c r="N153" s="8">
        <f>DATE(2020,2,3)</f>
        <v>43864</v>
      </c>
      <c r="O153" s="8">
        <f>DATE(2022,2,18)</f>
        <v>44610</v>
      </c>
      <c r="P153" s="1">
        <v>3866</v>
      </c>
      <c r="Q153" s="1">
        <v>1200</v>
      </c>
      <c r="R153" s="1">
        <f t="shared" si="38"/>
        <v>3200</v>
      </c>
      <c r="S153" s="1">
        <v>2.5</v>
      </c>
      <c r="U153" s="1">
        <f t="shared" si="39"/>
        <v>747</v>
      </c>
      <c r="V153" s="7">
        <f t="shared" si="40"/>
        <v>4.2838018741633199</v>
      </c>
      <c r="W153" s="7">
        <f t="shared" si="41"/>
        <v>1563.5876840696117</v>
      </c>
      <c r="X153" s="7">
        <f t="shared" si="42"/>
        <v>1.9544846050870146</v>
      </c>
      <c r="AA153" s="8">
        <f t="shared" si="43"/>
        <v>44927</v>
      </c>
      <c r="AB153" s="8">
        <f t="shared" si="44"/>
        <v>45291</v>
      </c>
      <c r="AC153" s="1">
        <v>24</v>
      </c>
      <c r="AD153" s="1">
        <f t="shared" si="45"/>
        <v>0</v>
      </c>
      <c r="AE153" s="1">
        <f t="shared" si="46"/>
        <v>0</v>
      </c>
      <c r="AF153" s="1">
        <f t="shared" si="47"/>
        <v>0</v>
      </c>
      <c r="AG153" s="1">
        <f t="shared" si="48"/>
        <v>0</v>
      </c>
      <c r="AH153" s="1">
        <f t="shared" si="49"/>
        <v>182.5</v>
      </c>
      <c r="AI153" s="5">
        <f t="shared" si="50"/>
        <v>0.5</v>
      </c>
      <c r="AJ153" s="5">
        <f t="shared" si="51"/>
        <v>0.9772423025435073</v>
      </c>
      <c r="AK153" s="5">
        <f t="shared" si="52"/>
        <v>11.726907630522089</v>
      </c>
      <c r="AL153" s="5">
        <f t="shared" si="53"/>
        <v>29.317269076305223</v>
      </c>
      <c r="AM153" s="5">
        <f t="shared" si="54"/>
        <v>14.658634538152612</v>
      </c>
      <c r="AN153" s="5">
        <f t="shared" si="55"/>
        <v>43.975903614457835</v>
      </c>
      <c r="AO153" s="1" t="s">
        <v>102</v>
      </c>
    </row>
    <row r="154" spans="1:41" x14ac:dyDescent="0.25">
      <c r="A154" s="1" t="s">
        <v>19</v>
      </c>
      <c r="B154" s="1" t="s">
        <v>29</v>
      </c>
      <c r="C154" s="1" t="s">
        <v>21</v>
      </c>
      <c r="D154" s="1" t="s">
        <v>30</v>
      </c>
      <c r="E154" s="1" t="s">
        <v>96</v>
      </c>
      <c r="F154" s="1" t="s">
        <v>103</v>
      </c>
      <c r="G154" s="1" t="s">
        <v>114</v>
      </c>
      <c r="H154" s="1" t="s">
        <v>247</v>
      </c>
      <c r="I154" s="1" t="s">
        <v>162</v>
      </c>
      <c r="J154" s="1" t="s">
        <v>101</v>
      </c>
      <c r="K154" s="1" t="s">
        <v>116</v>
      </c>
      <c r="L154" s="1">
        <v>2678781</v>
      </c>
      <c r="M154" s="1" t="s">
        <v>313</v>
      </c>
      <c r="N154" s="8">
        <f>DATE(2020,2,3)</f>
        <v>43864</v>
      </c>
      <c r="O154" s="8">
        <f>DATE(2022,2,18)</f>
        <v>44610</v>
      </c>
      <c r="P154" s="1">
        <v>3628</v>
      </c>
      <c r="Q154" s="1">
        <v>1200</v>
      </c>
      <c r="R154" s="1">
        <f t="shared" si="38"/>
        <v>3200</v>
      </c>
      <c r="S154" s="1">
        <v>1.5</v>
      </c>
      <c r="U154" s="1">
        <f t="shared" si="39"/>
        <v>747</v>
      </c>
      <c r="V154" s="7">
        <f t="shared" si="40"/>
        <v>4.2838018741633199</v>
      </c>
      <c r="W154" s="7">
        <f t="shared" si="41"/>
        <v>1563.5876840696117</v>
      </c>
      <c r="X154" s="7">
        <f t="shared" si="42"/>
        <v>1.9544846050870146</v>
      </c>
      <c r="AA154" s="8">
        <f t="shared" si="43"/>
        <v>44927</v>
      </c>
      <c r="AB154" s="8">
        <f t="shared" si="44"/>
        <v>45291</v>
      </c>
      <c r="AC154" s="1">
        <v>21</v>
      </c>
      <c r="AD154" s="1">
        <f t="shared" si="45"/>
        <v>0</v>
      </c>
      <c r="AE154" s="1">
        <f t="shared" si="46"/>
        <v>0</v>
      </c>
      <c r="AF154" s="1">
        <f t="shared" si="47"/>
        <v>0</v>
      </c>
      <c r="AG154" s="1">
        <f t="shared" si="48"/>
        <v>0</v>
      </c>
      <c r="AH154" s="1">
        <f t="shared" si="49"/>
        <v>182.5</v>
      </c>
      <c r="AI154" s="5">
        <f t="shared" si="50"/>
        <v>0.5</v>
      </c>
      <c r="AJ154" s="5">
        <f t="shared" si="51"/>
        <v>0.9772423025435073</v>
      </c>
      <c r="AK154" s="5">
        <f t="shared" si="52"/>
        <v>10.261044176706827</v>
      </c>
      <c r="AL154" s="5">
        <f t="shared" si="53"/>
        <v>15.391566265060241</v>
      </c>
      <c r="AM154" s="5">
        <f t="shared" si="54"/>
        <v>0</v>
      </c>
      <c r="AN154" s="5">
        <f t="shared" si="55"/>
        <v>15.391566265060241</v>
      </c>
      <c r="AO154" s="1" t="s">
        <v>102</v>
      </c>
    </row>
    <row r="155" spans="1:41" x14ac:dyDescent="0.25">
      <c r="A155" s="1" t="s">
        <v>19</v>
      </c>
      <c r="B155" s="1" t="s">
        <v>29</v>
      </c>
      <c r="C155" s="1" t="s">
        <v>21</v>
      </c>
      <c r="D155" s="1" t="s">
        <v>30</v>
      </c>
      <c r="E155" s="1" t="s">
        <v>96</v>
      </c>
      <c r="F155" s="1" t="s">
        <v>103</v>
      </c>
      <c r="G155" s="1" t="s">
        <v>114</v>
      </c>
      <c r="H155" s="1" t="s">
        <v>119</v>
      </c>
      <c r="I155" s="1" t="s">
        <v>105</v>
      </c>
      <c r="J155" s="1" t="s">
        <v>106</v>
      </c>
      <c r="K155" s="1" t="s">
        <v>175</v>
      </c>
      <c r="L155" s="1">
        <v>2679680</v>
      </c>
      <c r="M155" s="1" t="s">
        <v>314</v>
      </c>
      <c r="N155" s="8">
        <f>DATE(2020,2,3)</f>
        <v>43864</v>
      </c>
      <c r="O155" s="8">
        <f>DATE(2021,7,31)</f>
        <v>44408</v>
      </c>
      <c r="P155" s="1">
        <v>1418</v>
      </c>
      <c r="Q155" s="1">
        <v>1200</v>
      </c>
      <c r="R155" s="1">
        <f t="shared" si="38"/>
        <v>1200</v>
      </c>
      <c r="S155" s="1">
        <v>2.5</v>
      </c>
      <c r="U155" s="1">
        <f t="shared" si="39"/>
        <v>545</v>
      </c>
      <c r="V155" s="7">
        <f t="shared" si="40"/>
        <v>2.2018348623853212</v>
      </c>
      <c r="W155" s="7">
        <f t="shared" si="41"/>
        <v>803.66972477064223</v>
      </c>
      <c r="X155" s="7">
        <f t="shared" si="42"/>
        <v>1.0045871559633028</v>
      </c>
      <c r="AA155" s="8">
        <f t="shared" si="43"/>
        <v>44927</v>
      </c>
      <c r="AB155" s="8">
        <f t="shared" si="44"/>
        <v>45291</v>
      </c>
      <c r="AC155" s="1">
        <v>5</v>
      </c>
      <c r="AD155" s="1">
        <f t="shared" si="45"/>
        <v>0</v>
      </c>
      <c r="AE155" s="1">
        <f t="shared" si="46"/>
        <v>0</v>
      </c>
      <c r="AF155" s="1">
        <f t="shared" si="47"/>
        <v>0</v>
      </c>
      <c r="AG155" s="1">
        <f t="shared" si="48"/>
        <v>0</v>
      </c>
      <c r="AH155" s="1">
        <f t="shared" si="49"/>
        <v>182.5</v>
      </c>
      <c r="AI155" s="5">
        <f t="shared" si="50"/>
        <v>0.5</v>
      </c>
      <c r="AJ155" s="5">
        <f t="shared" si="51"/>
        <v>0.50229357798165142</v>
      </c>
      <c r="AK155" s="5">
        <f t="shared" si="52"/>
        <v>1.2557339449541285</v>
      </c>
      <c r="AL155" s="5">
        <f t="shared" si="53"/>
        <v>3.1393348623853212</v>
      </c>
      <c r="AM155" s="5">
        <f t="shared" si="54"/>
        <v>1.5696674311926606</v>
      </c>
      <c r="AN155" s="5">
        <f t="shared" si="55"/>
        <v>4.7090022935779814</v>
      </c>
      <c r="AO155" s="1" t="s">
        <v>102</v>
      </c>
    </row>
    <row r="156" spans="1:41" x14ac:dyDescent="0.25">
      <c r="A156" s="1" t="s">
        <v>19</v>
      </c>
      <c r="B156" s="1" t="s">
        <v>29</v>
      </c>
      <c r="C156" s="1" t="s">
        <v>21</v>
      </c>
      <c r="D156" s="1" t="s">
        <v>30</v>
      </c>
      <c r="E156" s="1" t="s">
        <v>96</v>
      </c>
      <c r="F156" s="1" t="s">
        <v>103</v>
      </c>
      <c r="G156" s="1" t="s">
        <v>98</v>
      </c>
      <c r="H156" s="1" t="s">
        <v>295</v>
      </c>
      <c r="I156" s="1" t="s">
        <v>105</v>
      </c>
      <c r="J156" s="1" t="s">
        <v>106</v>
      </c>
      <c r="L156" s="1">
        <v>2679681</v>
      </c>
      <c r="M156" s="1" t="s">
        <v>315</v>
      </c>
      <c r="N156" s="8">
        <f>DATE(2020,2,3)</f>
        <v>43864</v>
      </c>
      <c r="O156" s="8">
        <f>DATE(2024,12,31)</f>
        <v>45657</v>
      </c>
      <c r="P156" s="1">
        <v>4500</v>
      </c>
      <c r="Q156" s="1">
        <v>3600</v>
      </c>
      <c r="R156" s="1">
        <f t="shared" si="38"/>
        <v>3600</v>
      </c>
      <c r="S156" s="1">
        <v>2.5</v>
      </c>
      <c r="U156" s="1">
        <f t="shared" si="39"/>
        <v>1794</v>
      </c>
      <c r="V156" s="7">
        <f t="shared" si="40"/>
        <v>2.0066889632107023</v>
      </c>
      <c r="W156" s="7">
        <f t="shared" si="41"/>
        <v>732.44147157190639</v>
      </c>
      <c r="X156" s="7">
        <f t="shared" si="42"/>
        <v>0.91555183946488294</v>
      </c>
      <c r="AA156" s="8">
        <f t="shared" si="43"/>
        <v>44927</v>
      </c>
      <c r="AB156" s="8">
        <f t="shared" si="44"/>
        <v>45291</v>
      </c>
      <c r="AC156" s="1">
        <v>10</v>
      </c>
      <c r="AD156" s="1">
        <f t="shared" si="45"/>
        <v>365</v>
      </c>
      <c r="AE156" s="1">
        <f t="shared" si="46"/>
        <v>0</v>
      </c>
      <c r="AF156" s="1">
        <f t="shared" si="47"/>
        <v>0</v>
      </c>
      <c r="AG156" s="1">
        <f t="shared" si="48"/>
        <v>0</v>
      </c>
      <c r="AH156" s="1">
        <f t="shared" si="49"/>
        <v>0</v>
      </c>
      <c r="AI156" s="5">
        <f t="shared" si="50"/>
        <v>1</v>
      </c>
      <c r="AJ156" s="5">
        <f t="shared" si="51"/>
        <v>0.91555183946488294</v>
      </c>
      <c r="AK156" s="5">
        <f t="shared" si="52"/>
        <v>9.1555183946488299</v>
      </c>
      <c r="AL156" s="5">
        <f t="shared" si="53"/>
        <v>22.888795986622075</v>
      </c>
      <c r="AM156" s="5">
        <f t="shared" si="54"/>
        <v>11.444397993311037</v>
      </c>
      <c r="AN156" s="5">
        <f t="shared" si="55"/>
        <v>34.333193979933114</v>
      </c>
      <c r="AO156" s="1" t="s">
        <v>102</v>
      </c>
    </row>
    <row r="157" spans="1:41" x14ac:dyDescent="0.25">
      <c r="A157" s="1" t="s">
        <v>19</v>
      </c>
      <c r="B157" s="1" t="s">
        <v>29</v>
      </c>
      <c r="C157" s="1" t="s">
        <v>21</v>
      </c>
      <c r="D157" s="1" t="s">
        <v>30</v>
      </c>
      <c r="E157" s="1" t="s">
        <v>96</v>
      </c>
      <c r="F157" s="1" t="s">
        <v>103</v>
      </c>
      <c r="G157" s="1" t="s">
        <v>114</v>
      </c>
      <c r="H157" s="1" t="s">
        <v>119</v>
      </c>
      <c r="I157" s="1" t="s">
        <v>105</v>
      </c>
      <c r="J157" s="1" t="s">
        <v>106</v>
      </c>
      <c r="K157" s="1" t="s">
        <v>116</v>
      </c>
      <c r="L157" s="1">
        <v>2747768</v>
      </c>
      <c r="M157" s="1" t="s">
        <v>316</v>
      </c>
      <c r="N157" s="8">
        <f>DATE(2021,3,15)</f>
        <v>44270</v>
      </c>
      <c r="O157" s="8">
        <f>DATE(2023,12,31)</f>
        <v>45291</v>
      </c>
      <c r="P157" s="1">
        <v>3866</v>
      </c>
      <c r="Q157" s="1">
        <v>1200</v>
      </c>
      <c r="R157" s="1">
        <f t="shared" si="38"/>
        <v>3200</v>
      </c>
      <c r="S157" s="1">
        <v>2.5</v>
      </c>
      <c r="U157" s="1">
        <f t="shared" si="39"/>
        <v>1022</v>
      </c>
      <c r="V157" s="7">
        <f t="shared" si="40"/>
        <v>3.131115459882583</v>
      </c>
      <c r="W157" s="7">
        <f t="shared" si="41"/>
        <v>1142.8571428571429</v>
      </c>
      <c r="X157" s="7">
        <f t="shared" si="42"/>
        <v>1.4285714285714286</v>
      </c>
      <c r="AA157" s="8">
        <f t="shared" si="43"/>
        <v>44927</v>
      </c>
      <c r="AB157" s="8">
        <f t="shared" si="44"/>
        <v>45291</v>
      </c>
      <c r="AC157" s="1">
        <v>66</v>
      </c>
      <c r="AD157" s="1">
        <f t="shared" si="45"/>
        <v>0</v>
      </c>
      <c r="AE157" s="1">
        <f t="shared" si="46"/>
        <v>0</v>
      </c>
      <c r="AF157" s="1">
        <f t="shared" si="47"/>
        <v>365</v>
      </c>
      <c r="AG157" s="1">
        <f t="shared" si="48"/>
        <v>0</v>
      </c>
      <c r="AH157" s="1">
        <f t="shared" si="49"/>
        <v>0</v>
      </c>
      <c r="AI157" s="5">
        <f t="shared" si="50"/>
        <v>1</v>
      </c>
      <c r="AJ157" s="5">
        <f t="shared" si="51"/>
        <v>1.4285714285714286</v>
      </c>
      <c r="AK157" s="5">
        <f t="shared" si="52"/>
        <v>94.285714285714292</v>
      </c>
      <c r="AL157" s="5">
        <f t="shared" si="53"/>
        <v>235.71428571428572</v>
      </c>
      <c r="AM157" s="5">
        <f t="shared" si="54"/>
        <v>117.85714285714286</v>
      </c>
      <c r="AN157" s="5">
        <f t="shared" si="55"/>
        <v>353.57142857142856</v>
      </c>
      <c r="AO157" s="1" t="s">
        <v>102</v>
      </c>
    </row>
    <row r="158" spans="1:41" x14ac:dyDescent="0.25">
      <c r="A158" s="1" t="s">
        <v>19</v>
      </c>
      <c r="B158" s="1" t="s">
        <v>29</v>
      </c>
      <c r="C158" s="1" t="s">
        <v>21</v>
      </c>
      <c r="D158" s="1" t="s">
        <v>30</v>
      </c>
      <c r="E158" s="1" t="s">
        <v>96</v>
      </c>
      <c r="F158" s="1" t="s">
        <v>103</v>
      </c>
      <c r="G158" s="1" t="s">
        <v>114</v>
      </c>
      <c r="H158" s="1" t="s">
        <v>247</v>
      </c>
      <c r="I158" s="1" t="s">
        <v>162</v>
      </c>
      <c r="J158" s="1" t="s">
        <v>101</v>
      </c>
      <c r="K158" s="1" t="s">
        <v>116</v>
      </c>
      <c r="L158" s="1">
        <v>2747769</v>
      </c>
      <c r="M158" s="1" t="s">
        <v>317</v>
      </c>
      <c r="N158" s="8">
        <f>DATE(2021,3,15)</f>
        <v>44270</v>
      </c>
      <c r="O158" s="8">
        <f>DATE(2023,12,31)</f>
        <v>45291</v>
      </c>
      <c r="P158" s="1">
        <v>3628</v>
      </c>
      <c r="Q158" s="1">
        <v>1200</v>
      </c>
      <c r="R158" s="1">
        <f t="shared" si="38"/>
        <v>3200</v>
      </c>
      <c r="S158" s="1">
        <v>1.5</v>
      </c>
      <c r="U158" s="1">
        <f t="shared" si="39"/>
        <v>1022</v>
      </c>
      <c r="V158" s="7">
        <f t="shared" si="40"/>
        <v>3.131115459882583</v>
      </c>
      <c r="W158" s="7">
        <f t="shared" si="41"/>
        <v>1142.8571428571429</v>
      </c>
      <c r="X158" s="7">
        <f t="shared" si="42"/>
        <v>1.4285714285714286</v>
      </c>
      <c r="AA158" s="8">
        <f t="shared" si="43"/>
        <v>44927</v>
      </c>
      <c r="AB158" s="8">
        <f t="shared" si="44"/>
        <v>45291</v>
      </c>
      <c r="AC158" s="1">
        <v>55</v>
      </c>
      <c r="AD158" s="1">
        <f t="shared" si="45"/>
        <v>0</v>
      </c>
      <c r="AE158" s="1">
        <f t="shared" si="46"/>
        <v>0</v>
      </c>
      <c r="AF158" s="1">
        <f t="shared" si="47"/>
        <v>365</v>
      </c>
      <c r="AG158" s="1">
        <f t="shared" si="48"/>
        <v>0</v>
      </c>
      <c r="AH158" s="1">
        <f t="shared" si="49"/>
        <v>0</v>
      </c>
      <c r="AI158" s="5">
        <f t="shared" si="50"/>
        <v>1</v>
      </c>
      <c r="AJ158" s="5">
        <f t="shared" si="51"/>
        <v>1.4285714285714286</v>
      </c>
      <c r="AK158" s="5">
        <f t="shared" si="52"/>
        <v>78.571428571428569</v>
      </c>
      <c r="AL158" s="5">
        <f t="shared" si="53"/>
        <v>117.85714285714286</v>
      </c>
      <c r="AM158" s="5">
        <f t="shared" si="54"/>
        <v>0</v>
      </c>
      <c r="AN158" s="5">
        <f t="shared" si="55"/>
        <v>117.85714285714286</v>
      </c>
      <c r="AO158" s="1" t="s">
        <v>102</v>
      </c>
    </row>
    <row r="159" spans="1:41" x14ac:dyDescent="0.25">
      <c r="A159" s="1" t="s">
        <v>19</v>
      </c>
      <c r="B159" s="1" t="s">
        <v>29</v>
      </c>
      <c r="C159" s="1" t="s">
        <v>21</v>
      </c>
      <c r="D159" s="1" t="s">
        <v>30</v>
      </c>
      <c r="E159" s="1" t="s">
        <v>96</v>
      </c>
      <c r="F159" s="1" t="s">
        <v>103</v>
      </c>
      <c r="G159" s="1" t="s">
        <v>114</v>
      </c>
      <c r="H159" s="1" t="s">
        <v>119</v>
      </c>
      <c r="I159" s="1" t="s">
        <v>105</v>
      </c>
      <c r="J159" s="1" t="s">
        <v>106</v>
      </c>
      <c r="K159" s="1" t="s">
        <v>175</v>
      </c>
      <c r="L159" s="1">
        <v>2747770</v>
      </c>
      <c r="M159" s="1" t="s">
        <v>318</v>
      </c>
      <c r="N159" s="8">
        <f>DATE(2021,3,15)</f>
        <v>44270</v>
      </c>
      <c r="O159" s="8">
        <f>DATE(2022,7,15)</f>
        <v>44757</v>
      </c>
      <c r="P159" s="1">
        <v>1600</v>
      </c>
      <c r="Q159" s="1">
        <v>1200</v>
      </c>
      <c r="R159" s="1">
        <f t="shared" si="38"/>
        <v>1200</v>
      </c>
      <c r="S159" s="1">
        <v>2.5</v>
      </c>
      <c r="U159" s="1">
        <f t="shared" si="39"/>
        <v>488</v>
      </c>
      <c r="V159" s="7">
        <f t="shared" si="40"/>
        <v>2.459016393442623</v>
      </c>
      <c r="W159" s="7">
        <f t="shared" si="41"/>
        <v>897.54098360655735</v>
      </c>
      <c r="X159" s="7">
        <f t="shared" si="42"/>
        <v>1.1219262295081966</v>
      </c>
      <c r="AA159" s="8">
        <f t="shared" si="43"/>
        <v>44927</v>
      </c>
      <c r="AB159" s="8">
        <f t="shared" si="44"/>
        <v>45291</v>
      </c>
      <c r="AC159" s="1">
        <v>8</v>
      </c>
      <c r="AD159" s="1">
        <f t="shared" si="45"/>
        <v>0</v>
      </c>
      <c r="AE159" s="1">
        <f t="shared" si="46"/>
        <v>0</v>
      </c>
      <c r="AF159" s="1">
        <f t="shared" si="47"/>
        <v>0</v>
      </c>
      <c r="AG159" s="1">
        <f t="shared" si="48"/>
        <v>0</v>
      </c>
      <c r="AH159" s="1">
        <f t="shared" si="49"/>
        <v>182.5</v>
      </c>
      <c r="AI159" s="5">
        <f t="shared" si="50"/>
        <v>0.5</v>
      </c>
      <c r="AJ159" s="5">
        <f t="shared" si="51"/>
        <v>0.56096311475409832</v>
      </c>
      <c r="AK159" s="5">
        <f t="shared" si="52"/>
        <v>2.2438524590163933</v>
      </c>
      <c r="AL159" s="5">
        <f t="shared" si="53"/>
        <v>5.6096311475409832</v>
      </c>
      <c r="AM159" s="5">
        <f t="shared" si="54"/>
        <v>2.8048155737704916</v>
      </c>
      <c r="AN159" s="5">
        <f t="shared" si="55"/>
        <v>8.4144467213114744</v>
      </c>
      <c r="AO159" s="1" t="s">
        <v>102</v>
      </c>
    </row>
    <row r="160" spans="1:41" x14ac:dyDescent="0.25">
      <c r="A160" s="1" t="s">
        <v>19</v>
      </c>
      <c r="B160" s="1" t="s">
        <v>29</v>
      </c>
      <c r="C160" s="1" t="s">
        <v>21</v>
      </c>
      <c r="D160" s="1" t="s">
        <v>30</v>
      </c>
      <c r="E160" s="1" t="s">
        <v>96</v>
      </c>
      <c r="F160" s="1" t="s">
        <v>103</v>
      </c>
      <c r="G160" s="1" t="s">
        <v>98</v>
      </c>
      <c r="H160" s="1" t="s">
        <v>295</v>
      </c>
      <c r="I160" s="1" t="s">
        <v>105</v>
      </c>
      <c r="J160" s="1" t="s">
        <v>106</v>
      </c>
      <c r="L160" s="1">
        <v>2747771</v>
      </c>
      <c r="M160" s="1" t="s">
        <v>319</v>
      </c>
      <c r="N160" s="8">
        <f>DATE(2021,3,15)</f>
        <v>44270</v>
      </c>
      <c r="O160" s="8">
        <f>DATE(2025,12,31)</f>
        <v>46022</v>
      </c>
      <c r="P160" s="1">
        <v>4500</v>
      </c>
      <c r="Q160" s="1">
        <v>3600</v>
      </c>
      <c r="R160" s="1">
        <f t="shared" si="38"/>
        <v>3600</v>
      </c>
      <c r="S160" s="1">
        <v>2.5</v>
      </c>
      <c r="U160" s="1">
        <f t="shared" si="39"/>
        <v>1753</v>
      </c>
      <c r="V160" s="7">
        <f t="shared" si="40"/>
        <v>2.0536223616657159</v>
      </c>
      <c r="W160" s="7">
        <f t="shared" si="41"/>
        <v>749.57216200798632</v>
      </c>
      <c r="X160" s="7">
        <f t="shared" si="42"/>
        <v>0.93696520250998294</v>
      </c>
      <c r="AA160" s="8">
        <f t="shared" si="43"/>
        <v>44927</v>
      </c>
      <c r="AB160" s="8">
        <f t="shared" si="44"/>
        <v>45291</v>
      </c>
      <c r="AC160" s="1">
        <v>16</v>
      </c>
      <c r="AD160" s="1">
        <f t="shared" si="45"/>
        <v>365</v>
      </c>
      <c r="AE160" s="1">
        <f t="shared" si="46"/>
        <v>0</v>
      </c>
      <c r="AF160" s="1">
        <f t="shared" si="47"/>
        <v>0</v>
      </c>
      <c r="AG160" s="1">
        <f t="shared" si="48"/>
        <v>0</v>
      </c>
      <c r="AH160" s="1">
        <f t="shared" si="49"/>
        <v>0</v>
      </c>
      <c r="AI160" s="5">
        <f t="shared" si="50"/>
        <v>1</v>
      </c>
      <c r="AJ160" s="5">
        <f t="shared" si="51"/>
        <v>0.93696520250998294</v>
      </c>
      <c r="AK160" s="5">
        <f t="shared" si="52"/>
        <v>14.991443240159727</v>
      </c>
      <c r="AL160" s="5">
        <f t="shared" si="53"/>
        <v>37.47860810039932</v>
      </c>
      <c r="AM160" s="5">
        <f t="shared" si="54"/>
        <v>18.73930405019966</v>
      </c>
      <c r="AN160" s="5">
        <f t="shared" si="55"/>
        <v>56.217912150598977</v>
      </c>
      <c r="AO160" s="1" t="s">
        <v>102</v>
      </c>
    </row>
    <row r="161" spans="1:41" x14ac:dyDescent="0.25">
      <c r="A161" s="1" t="s">
        <v>19</v>
      </c>
      <c r="B161" s="1" t="s">
        <v>29</v>
      </c>
      <c r="C161" s="1" t="s">
        <v>21</v>
      </c>
      <c r="D161" s="1" t="s">
        <v>30</v>
      </c>
      <c r="E161" s="1" t="s">
        <v>96</v>
      </c>
      <c r="F161" s="1" t="s">
        <v>103</v>
      </c>
      <c r="G161" s="1" t="s">
        <v>320</v>
      </c>
      <c r="H161" s="1" t="s">
        <v>321</v>
      </c>
      <c r="I161" s="1" t="s">
        <v>174</v>
      </c>
      <c r="J161" s="1" t="s">
        <v>101</v>
      </c>
      <c r="L161" s="1">
        <v>2816951</v>
      </c>
      <c r="M161" s="1" t="s">
        <v>322</v>
      </c>
      <c r="N161" s="8">
        <f>DATE(2021,10,1)</f>
        <v>44470</v>
      </c>
      <c r="O161" s="8">
        <f>DATE(2025,7,31)</f>
        <v>45869</v>
      </c>
      <c r="P161" s="1">
        <v>3200</v>
      </c>
      <c r="Q161" s="1">
        <v>3200</v>
      </c>
      <c r="R161" s="1">
        <f t="shared" si="38"/>
        <v>3200</v>
      </c>
      <c r="S161" s="1">
        <v>2.5</v>
      </c>
      <c r="U161" s="1">
        <f t="shared" si="39"/>
        <v>1400</v>
      </c>
      <c r="V161" s="7">
        <f t="shared" si="40"/>
        <v>2.2857142857142856</v>
      </c>
      <c r="W161" s="7">
        <f t="shared" si="41"/>
        <v>834.28571428571422</v>
      </c>
      <c r="X161" s="7">
        <f t="shared" si="42"/>
        <v>1.0428571428571427</v>
      </c>
      <c r="AA161" s="8">
        <f t="shared" si="43"/>
        <v>44927</v>
      </c>
      <c r="AB161" s="8">
        <f t="shared" si="44"/>
        <v>45291</v>
      </c>
      <c r="AC161" s="1">
        <v>28</v>
      </c>
      <c r="AD161" s="1">
        <f t="shared" si="45"/>
        <v>365</v>
      </c>
      <c r="AE161" s="1">
        <f t="shared" si="46"/>
        <v>0</v>
      </c>
      <c r="AF161" s="1">
        <f t="shared" si="47"/>
        <v>0</v>
      </c>
      <c r="AG161" s="1">
        <f t="shared" si="48"/>
        <v>0</v>
      </c>
      <c r="AH161" s="1">
        <f t="shared" si="49"/>
        <v>0</v>
      </c>
      <c r="AI161" s="5">
        <f t="shared" si="50"/>
        <v>1</v>
      </c>
      <c r="AJ161" s="5">
        <f t="shared" si="51"/>
        <v>1.0428571428571427</v>
      </c>
      <c r="AK161" s="5">
        <f t="shared" si="52"/>
        <v>29.199999999999996</v>
      </c>
      <c r="AL161" s="5">
        <f t="shared" si="53"/>
        <v>72.999999999999986</v>
      </c>
      <c r="AM161" s="5">
        <f t="shared" si="54"/>
        <v>0</v>
      </c>
      <c r="AN161" s="5">
        <f t="shared" si="55"/>
        <v>72.999999999999986</v>
      </c>
      <c r="AO161" s="1" t="s">
        <v>102</v>
      </c>
    </row>
    <row r="162" spans="1:41" x14ac:dyDescent="0.25">
      <c r="A162" s="1" t="s">
        <v>19</v>
      </c>
      <c r="B162" s="1" t="s">
        <v>29</v>
      </c>
      <c r="C162" s="1" t="s">
        <v>21</v>
      </c>
      <c r="D162" s="1" t="s">
        <v>30</v>
      </c>
      <c r="E162" s="1" t="s">
        <v>96</v>
      </c>
      <c r="F162" s="1" t="s">
        <v>103</v>
      </c>
      <c r="G162" s="1" t="s">
        <v>114</v>
      </c>
      <c r="H162" s="1" t="s">
        <v>119</v>
      </c>
      <c r="I162" s="1" t="s">
        <v>105</v>
      </c>
      <c r="J162" s="1" t="s">
        <v>106</v>
      </c>
      <c r="K162" s="1" t="s">
        <v>175</v>
      </c>
      <c r="L162" s="1">
        <v>2816924</v>
      </c>
      <c r="M162" s="1" t="s">
        <v>323</v>
      </c>
      <c r="N162" s="8">
        <f>DATE(2021,10,2)</f>
        <v>44471</v>
      </c>
      <c r="O162" s="8">
        <f>DATE(2022,7,31)</f>
        <v>44773</v>
      </c>
      <c r="P162" s="1">
        <v>1418</v>
      </c>
      <c r="Q162" s="1">
        <v>1200</v>
      </c>
      <c r="R162" s="1">
        <f t="shared" si="38"/>
        <v>1200</v>
      </c>
      <c r="S162" s="1">
        <v>2.5</v>
      </c>
      <c r="U162" s="1">
        <f t="shared" si="39"/>
        <v>303</v>
      </c>
      <c r="V162" s="7">
        <f t="shared" si="40"/>
        <v>3.9603960396039604</v>
      </c>
      <c r="W162" s="7">
        <f t="shared" si="41"/>
        <v>1200</v>
      </c>
      <c r="X162" s="7">
        <f t="shared" si="42"/>
        <v>1.5</v>
      </c>
      <c r="AA162" s="8">
        <f t="shared" si="43"/>
        <v>44927</v>
      </c>
      <c r="AB162" s="8">
        <f t="shared" si="44"/>
        <v>45291</v>
      </c>
      <c r="AC162" s="1">
        <v>8</v>
      </c>
      <c r="AD162" s="1">
        <f t="shared" si="45"/>
        <v>0</v>
      </c>
      <c r="AE162" s="1">
        <f t="shared" si="46"/>
        <v>0</v>
      </c>
      <c r="AF162" s="1">
        <f t="shared" si="47"/>
        <v>0</v>
      </c>
      <c r="AG162" s="1">
        <f t="shared" si="48"/>
        <v>0</v>
      </c>
      <c r="AH162" s="1">
        <f t="shared" si="49"/>
        <v>182.5</v>
      </c>
      <c r="AI162" s="5">
        <f t="shared" si="50"/>
        <v>0.60231023102310233</v>
      </c>
      <c r="AJ162" s="5">
        <f t="shared" si="51"/>
        <v>0.90346534653465349</v>
      </c>
      <c r="AK162" s="5">
        <f t="shared" si="52"/>
        <v>3.613861386138614</v>
      </c>
      <c r="AL162" s="5">
        <f t="shared" si="53"/>
        <v>9.0346534653465351</v>
      </c>
      <c r="AM162" s="5">
        <f t="shared" si="54"/>
        <v>4.5173267326732676</v>
      </c>
      <c r="AN162" s="5">
        <f t="shared" si="55"/>
        <v>13.551980198019802</v>
      </c>
      <c r="AO162" s="1" t="s">
        <v>102</v>
      </c>
    </row>
    <row r="163" spans="1:41" x14ac:dyDescent="0.25">
      <c r="A163" s="1" t="s">
        <v>19</v>
      </c>
      <c r="B163" s="1" t="s">
        <v>29</v>
      </c>
      <c r="C163" s="1" t="s">
        <v>21</v>
      </c>
      <c r="D163" s="1" t="s">
        <v>30</v>
      </c>
      <c r="E163" s="1" t="s">
        <v>96</v>
      </c>
      <c r="F163" s="1" t="s">
        <v>103</v>
      </c>
      <c r="G163" s="1" t="s">
        <v>114</v>
      </c>
      <c r="H163" s="1" t="s">
        <v>119</v>
      </c>
      <c r="I163" s="1" t="s">
        <v>105</v>
      </c>
      <c r="J163" s="1" t="s">
        <v>106</v>
      </c>
      <c r="K163" s="1" t="s">
        <v>116</v>
      </c>
      <c r="L163" s="1">
        <v>2843235</v>
      </c>
      <c r="M163" s="1" t="s">
        <v>324</v>
      </c>
      <c r="N163" s="8">
        <f>DATE(2022,2,1)</f>
        <v>44593</v>
      </c>
      <c r="O163" s="8">
        <f>DATE(2024,12,31)</f>
        <v>45657</v>
      </c>
      <c r="P163" s="1">
        <v>3706</v>
      </c>
      <c r="Q163" s="1">
        <v>1200</v>
      </c>
      <c r="R163" s="1">
        <f t="shared" si="38"/>
        <v>3200</v>
      </c>
      <c r="S163" s="1">
        <v>2.5</v>
      </c>
      <c r="U163" s="1">
        <f t="shared" si="39"/>
        <v>1065</v>
      </c>
      <c r="V163" s="7">
        <f t="shared" si="40"/>
        <v>3.004694835680751</v>
      </c>
      <c r="W163" s="7">
        <f t="shared" si="41"/>
        <v>1096.7136150234742</v>
      </c>
      <c r="X163" s="7">
        <f t="shared" si="42"/>
        <v>1.3708920187793427</v>
      </c>
      <c r="AA163" s="8">
        <f t="shared" si="43"/>
        <v>44927</v>
      </c>
      <c r="AB163" s="8">
        <f t="shared" si="44"/>
        <v>45291</v>
      </c>
      <c r="AC163" s="1">
        <v>79</v>
      </c>
      <c r="AD163" s="1">
        <f t="shared" si="45"/>
        <v>365</v>
      </c>
      <c r="AE163" s="1">
        <f t="shared" si="46"/>
        <v>0</v>
      </c>
      <c r="AF163" s="1">
        <f t="shared" si="47"/>
        <v>0</v>
      </c>
      <c r="AG163" s="1">
        <f t="shared" si="48"/>
        <v>0</v>
      </c>
      <c r="AH163" s="1">
        <f t="shared" si="49"/>
        <v>0</v>
      </c>
      <c r="AI163" s="5">
        <f t="shared" si="50"/>
        <v>1</v>
      </c>
      <c r="AJ163" s="5">
        <f t="shared" si="51"/>
        <v>1.3708920187793427</v>
      </c>
      <c r="AK163" s="5">
        <f t="shared" si="52"/>
        <v>108.30046948356808</v>
      </c>
      <c r="AL163" s="5">
        <f t="shared" si="53"/>
        <v>270.75117370892019</v>
      </c>
      <c r="AM163" s="5">
        <f t="shared" si="54"/>
        <v>135.3755868544601</v>
      </c>
      <c r="AN163" s="5">
        <f t="shared" si="55"/>
        <v>406.12676056338029</v>
      </c>
      <c r="AO163" s="1" t="s">
        <v>102</v>
      </c>
    </row>
    <row r="164" spans="1:41" x14ac:dyDescent="0.25">
      <c r="A164" s="1" t="s">
        <v>19</v>
      </c>
      <c r="B164" s="1" t="s">
        <v>29</v>
      </c>
      <c r="C164" s="1" t="s">
        <v>21</v>
      </c>
      <c r="D164" s="1" t="s">
        <v>30</v>
      </c>
      <c r="E164" s="1" t="s">
        <v>96</v>
      </c>
      <c r="F164" s="1" t="s">
        <v>103</v>
      </c>
      <c r="G164" s="1" t="s">
        <v>114</v>
      </c>
      <c r="H164" s="1" t="s">
        <v>247</v>
      </c>
      <c r="I164" s="1" t="s">
        <v>162</v>
      </c>
      <c r="J164" s="1" t="s">
        <v>101</v>
      </c>
      <c r="K164" s="1" t="s">
        <v>116</v>
      </c>
      <c r="L164" s="1">
        <v>2843242</v>
      </c>
      <c r="M164" s="1" t="s">
        <v>325</v>
      </c>
      <c r="N164" s="8">
        <f>DATE(2022,2,1)</f>
        <v>44593</v>
      </c>
      <c r="O164" s="8">
        <f>DATE(2024,12,31)</f>
        <v>45657</v>
      </c>
      <c r="P164" s="1">
        <v>3628</v>
      </c>
      <c r="Q164" s="1">
        <v>1200</v>
      </c>
      <c r="R164" s="1">
        <f t="shared" si="38"/>
        <v>3200</v>
      </c>
      <c r="S164" s="1">
        <v>1.5</v>
      </c>
      <c r="U164" s="1">
        <f t="shared" si="39"/>
        <v>1065</v>
      </c>
      <c r="V164" s="7">
        <f t="shared" si="40"/>
        <v>3.004694835680751</v>
      </c>
      <c r="W164" s="7">
        <f t="shared" si="41"/>
        <v>1096.7136150234742</v>
      </c>
      <c r="X164" s="7">
        <f t="shared" si="42"/>
        <v>1.3708920187793427</v>
      </c>
      <c r="AA164" s="8">
        <f t="shared" si="43"/>
        <v>44927</v>
      </c>
      <c r="AB164" s="8">
        <f t="shared" si="44"/>
        <v>45291</v>
      </c>
      <c r="AC164" s="1">
        <v>59</v>
      </c>
      <c r="AD164" s="1">
        <f t="shared" si="45"/>
        <v>365</v>
      </c>
      <c r="AE164" s="1">
        <f t="shared" si="46"/>
        <v>0</v>
      </c>
      <c r="AF164" s="1">
        <f t="shared" si="47"/>
        <v>0</v>
      </c>
      <c r="AG164" s="1">
        <f t="shared" si="48"/>
        <v>0</v>
      </c>
      <c r="AH164" s="1">
        <f t="shared" si="49"/>
        <v>0</v>
      </c>
      <c r="AI164" s="5">
        <f t="shared" si="50"/>
        <v>1</v>
      </c>
      <c r="AJ164" s="5">
        <f t="shared" si="51"/>
        <v>1.3708920187793427</v>
      </c>
      <c r="AK164" s="5">
        <f t="shared" si="52"/>
        <v>80.882629107981217</v>
      </c>
      <c r="AL164" s="5">
        <f t="shared" si="53"/>
        <v>121.32394366197182</v>
      </c>
      <c r="AM164" s="5">
        <f t="shared" si="54"/>
        <v>0</v>
      </c>
      <c r="AN164" s="5">
        <f t="shared" si="55"/>
        <v>121.32394366197182</v>
      </c>
      <c r="AO164" s="1" t="s">
        <v>102</v>
      </c>
    </row>
    <row r="165" spans="1:41" x14ac:dyDescent="0.25">
      <c r="A165" s="1" t="s">
        <v>19</v>
      </c>
      <c r="B165" s="1" t="s">
        <v>29</v>
      </c>
      <c r="C165" s="1" t="s">
        <v>21</v>
      </c>
      <c r="D165" s="1" t="s">
        <v>30</v>
      </c>
      <c r="E165" s="1" t="s">
        <v>96</v>
      </c>
      <c r="F165" s="1" t="s">
        <v>103</v>
      </c>
      <c r="G165" s="1" t="s">
        <v>114</v>
      </c>
      <c r="H165" s="1" t="s">
        <v>119</v>
      </c>
      <c r="I165" s="1" t="s">
        <v>105</v>
      </c>
      <c r="J165" s="1" t="s">
        <v>106</v>
      </c>
      <c r="K165" s="1" t="s">
        <v>175</v>
      </c>
      <c r="L165" s="1">
        <v>2844917</v>
      </c>
      <c r="M165" s="1" t="s">
        <v>326</v>
      </c>
      <c r="N165" s="8">
        <f>DATE(2022,2,1)</f>
        <v>44593</v>
      </c>
      <c r="O165" s="8">
        <f>DATE(2023,7,31)</f>
        <v>45138</v>
      </c>
      <c r="P165" s="1">
        <v>1418</v>
      </c>
      <c r="Q165" s="1">
        <v>1200</v>
      </c>
      <c r="R165" s="1">
        <f t="shared" si="38"/>
        <v>1200</v>
      </c>
      <c r="S165" s="1">
        <v>2.5</v>
      </c>
      <c r="U165" s="1">
        <f t="shared" si="39"/>
        <v>546</v>
      </c>
      <c r="V165" s="7">
        <f t="shared" si="40"/>
        <v>2.197802197802198</v>
      </c>
      <c r="W165" s="7">
        <f t="shared" si="41"/>
        <v>802.19780219780228</v>
      </c>
      <c r="X165" s="7">
        <f t="shared" si="42"/>
        <v>1.0027472527472527</v>
      </c>
      <c r="AA165" s="8">
        <f t="shared" si="43"/>
        <v>44927</v>
      </c>
      <c r="AB165" s="8">
        <f t="shared" si="44"/>
        <v>45291</v>
      </c>
      <c r="AC165" s="1">
        <v>25</v>
      </c>
      <c r="AD165" s="1">
        <f t="shared" si="45"/>
        <v>0</v>
      </c>
      <c r="AE165" s="1">
        <f t="shared" si="46"/>
        <v>0</v>
      </c>
      <c r="AF165" s="1">
        <f t="shared" si="47"/>
        <v>212</v>
      </c>
      <c r="AG165" s="1">
        <f t="shared" si="48"/>
        <v>0</v>
      </c>
      <c r="AH165" s="1">
        <f t="shared" si="49"/>
        <v>0</v>
      </c>
      <c r="AI165" s="5">
        <f t="shared" si="50"/>
        <v>0.58082191780821912</v>
      </c>
      <c r="AJ165" s="5">
        <f t="shared" si="51"/>
        <v>0.58241758241758235</v>
      </c>
      <c r="AK165" s="5">
        <f t="shared" si="52"/>
        <v>14.560439560439558</v>
      </c>
      <c r="AL165" s="5">
        <f t="shared" si="53"/>
        <v>36.401098901098898</v>
      </c>
      <c r="AM165" s="5">
        <f t="shared" si="54"/>
        <v>18.200549450549449</v>
      </c>
      <c r="AN165" s="5">
        <f t="shared" si="55"/>
        <v>54.60164835164835</v>
      </c>
      <c r="AO165" s="1" t="s">
        <v>102</v>
      </c>
    </row>
    <row r="166" spans="1:41" x14ac:dyDescent="0.25">
      <c r="A166" s="1" t="s">
        <v>19</v>
      </c>
      <c r="B166" s="1" t="s">
        <v>29</v>
      </c>
      <c r="C166" s="1" t="s">
        <v>21</v>
      </c>
      <c r="D166" s="1" t="s">
        <v>30</v>
      </c>
      <c r="E166" s="1" t="s">
        <v>96</v>
      </c>
      <c r="F166" s="1" t="s">
        <v>103</v>
      </c>
      <c r="G166" s="1" t="s">
        <v>320</v>
      </c>
      <c r="H166" s="1" t="s">
        <v>321</v>
      </c>
      <c r="I166" s="1" t="s">
        <v>174</v>
      </c>
      <c r="J166" s="1" t="s">
        <v>101</v>
      </c>
      <c r="L166" s="1">
        <v>2844940</v>
      </c>
      <c r="M166" s="1" t="s">
        <v>327</v>
      </c>
      <c r="N166" s="8">
        <f>DATE(2022,2,1)</f>
        <v>44593</v>
      </c>
      <c r="O166" s="8">
        <f>DATE(2025,12,31)</f>
        <v>46022</v>
      </c>
      <c r="P166" s="1">
        <v>3200</v>
      </c>
      <c r="Q166" s="1">
        <v>3200</v>
      </c>
      <c r="R166" s="1">
        <f t="shared" si="38"/>
        <v>3200</v>
      </c>
      <c r="S166" s="1">
        <v>2.5</v>
      </c>
      <c r="U166" s="1">
        <f t="shared" si="39"/>
        <v>1430</v>
      </c>
      <c r="V166" s="7">
        <f t="shared" si="40"/>
        <v>2.2377622377622379</v>
      </c>
      <c r="W166" s="7">
        <f t="shared" si="41"/>
        <v>816.78321678321686</v>
      </c>
      <c r="X166" s="7">
        <f t="shared" si="42"/>
        <v>1.020979020979021</v>
      </c>
      <c r="AA166" s="8">
        <f t="shared" si="43"/>
        <v>44927</v>
      </c>
      <c r="AB166" s="8">
        <f t="shared" si="44"/>
        <v>45291</v>
      </c>
      <c r="AC166" s="1">
        <v>17</v>
      </c>
      <c r="AD166" s="1">
        <f t="shared" si="45"/>
        <v>365</v>
      </c>
      <c r="AE166" s="1">
        <f t="shared" si="46"/>
        <v>0</v>
      </c>
      <c r="AF166" s="1">
        <f t="shared" si="47"/>
        <v>0</v>
      </c>
      <c r="AG166" s="1">
        <f t="shared" si="48"/>
        <v>0</v>
      </c>
      <c r="AH166" s="1">
        <f t="shared" si="49"/>
        <v>0</v>
      </c>
      <c r="AI166" s="5">
        <f t="shared" si="50"/>
        <v>1</v>
      </c>
      <c r="AJ166" s="5">
        <f t="shared" si="51"/>
        <v>1.020979020979021</v>
      </c>
      <c r="AK166" s="5">
        <f t="shared" si="52"/>
        <v>17.356643356643357</v>
      </c>
      <c r="AL166" s="5">
        <f t="shared" si="53"/>
        <v>43.391608391608393</v>
      </c>
      <c r="AM166" s="5">
        <f t="shared" si="54"/>
        <v>0</v>
      </c>
      <c r="AN166" s="5">
        <f t="shared" si="55"/>
        <v>43.391608391608393</v>
      </c>
      <c r="AO166" s="1" t="s">
        <v>102</v>
      </c>
    </row>
    <row r="167" spans="1:41" x14ac:dyDescent="0.25">
      <c r="A167" s="1" t="s">
        <v>19</v>
      </c>
      <c r="B167" s="1" t="s">
        <v>29</v>
      </c>
      <c r="C167" s="1" t="s">
        <v>21</v>
      </c>
      <c r="D167" s="1" t="s">
        <v>30</v>
      </c>
      <c r="E167" s="1" t="s">
        <v>96</v>
      </c>
      <c r="F167" s="1" t="s">
        <v>103</v>
      </c>
      <c r="G167" s="1" t="s">
        <v>98</v>
      </c>
      <c r="H167" s="1" t="s">
        <v>295</v>
      </c>
      <c r="I167" s="1" t="s">
        <v>105</v>
      </c>
      <c r="J167" s="1" t="s">
        <v>106</v>
      </c>
      <c r="L167" s="1">
        <v>2844941</v>
      </c>
      <c r="M167" s="1" t="s">
        <v>328</v>
      </c>
      <c r="N167" s="8">
        <f>DATE(2022,2,1)</f>
        <v>44593</v>
      </c>
      <c r="O167" s="8">
        <f>DATE(2026,12,31)</f>
        <v>46387</v>
      </c>
      <c r="P167" s="1">
        <v>4046</v>
      </c>
      <c r="Q167" s="1">
        <v>3600</v>
      </c>
      <c r="R167" s="1">
        <f t="shared" si="38"/>
        <v>3600</v>
      </c>
      <c r="S167" s="1">
        <v>2.5</v>
      </c>
      <c r="U167" s="1">
        <f t="shared" si="39"/>
        <v>1795</v>
      </c>
      <c r="V167" s="7">
        <f t="shared" si="40"/>
        <v>2.0055710306406684</v>
      </c>
      <c r="W167" s="7">
        <f t="shared" si="41"/>
        <v>732.03342618384397</v>
      </c>
      <c r="X167" s="7">
        <f t="shared" si="42"/>
        <v>0.91504178272980496</v>
      </c>
      <c r="AA167" s="8">
        <f t="shared" si="43"/>
        <v>44927</v>
      </c>
      <c r="AB167" s="8">
        <f t="shared" si="44"/>
        <v>45291</v>
      </c>
      <c r="AC167" s="1">
        <v>12</v>
      </c>
      <c r="AD167" s="1">
        <f t="shared" si="45"/>
        <v>365</v>
      </c>
      <c r="AE167" s="1">
        <f t="shared" si="46"/>
        <v>0</v>
      </c>
      <c r="AF167" s="1">
        <f t="shared" si="47"/>
        <v>0</v>
      </c>
      <c r="AG167" s="1">
        <f t="shared" si="48"/>
        <v>0</v>
      </c>
      <c r="AH167" s="1">
        <f t="shared" si="49"/>
        <v>0</v>
      </c>
      <c r="AI167" s="5">
        <f t="shared" si="50"/>
        <v>1</v>
      </c>
      <c r="AJ167" s="5">
        <f t="shared" si="51"/>
        <v>0.91504178272980496</v>
      </c>
      <c r="AK167" s="5">
        <f t="shared" si="52"/>
        <v>10.98050139275766</v>
      </c>
      <c r="AL167" s="5">
        <f t="shared" si="53"/>
        <v>27.451253481894149</v>
      </c>
      <c r="AM167" s="5">
        <f t="shared" si="54"/>
        <v>13.725626740947074</v>
      </c>
      <c r="AN167" s="5">
        <f t="shared" si="55"/>
        <v>41.17688022284122</v>
      </c>
      <c r="AO167" s="1" t="s">
        <v>102</v>
      </c>
    </row>
    <row r="168" spans="1:41" x14ac:dyDescent="0.25">
      <c r="A168" s="1" t="s">
        <v>19</v>
      </c>
      <c r="B168" s="1" t="s">
        <v>29</v>
      </c>
      <c r="C168" s="1" t="s">
        <v>21</v>
      </c>
      <c r="D168" s="1" t="s">
        <v>30</v>
      </c>
      <c r="E168" s="1" t="s">
        <v>96</v>
      </c>
      <c r="F168" s="1" t="s">
        <v>103</v>
      </c>
      <c r="G168" s="1" t="s">
        <v>114</v>
      </c>
      <c r="H168" s="1" t="s">
        <v>119</v>
      </c>
      <c r="I168" s="1" t="s">
        <v>105</v>
      </c>
      <c r="J168" s="1" t="s">
        <v>106</v>
      </c>
      <c r="K168" s="1" t="s">
        <v>175</v>
      </c>
      <c r="L168" s="1">
        <v>2889581</v>
      </c>
      <c r="M168" s="1" t="s">
        <v>329</v>
      </c>
      <c r="N168" s="8">
        <f>DATE(2022,7,25)</f>
        <v>44767</v>
      </c>
      <c r="O168" s="8">
        <f>DATE(2023,12,20)</f>
        <v>45280</v>
      </c>
      <c r="P168" s="1">
        <v>1600</v>
      </c>
      <c r="Q168" s="1">
        <v>1200</v>
      </c>
      <c r="R168" s="1">
        <f t="shared" si="38"/>
        <v>1200</v>
      </c>
      <c r="S168" s="1">
        <v>2.5</v>
      </c>
      <c r="U168" s="1">
        <f t="shared" si="39"/>
        <v>514</v>
      </c>
      <c r="V168" s="7">
        <f t="shared" si="40"/>
        <v>2.3346303501945527</v>
      </c>
      <c r="W168" s="7">
        <f t="shared" si="41"/>
        <v>852.14007782101169</v>
      </c>
      <c r="X168" s="7">
        <f t="shared" si="42"/>
        <v>1.0651750972762646</v>
      </c>
      <c r="AA168" s="8">
        <f t="shared" si="43"/>
        <v>44927</v>
      </c>
      <c r="AB168" s="8">
        <f t="shared" si="44"/>
        <v>45291</v>
      </c>
      <c r="AC168" s="1">
        <v>16</v>
      </c>
      <c r="AD168" s="1">
        <f t="shared" si="45"/>
        <v>0</v>
      </c>
      <c r="AE168" s="1">
        <f t="shared" si="46"/>
        <v>0</v>
      </c>
      <c r="AF168" s="1">
        <f t="shared" si="47"/>
        <v>354</v>
      </c>
      <c r="AG168" s="1">
        <f t="shared" si="48"/>
        <v>0</v>
      </c>
      <c r="AH168" s="1">
        <f t="shared" si="49"/>
        <v>0</v>
      </c>
      <c r="AI168" s="5">
        <f t="shared" si="50"/>
        <v>0.96986301369863015</v>
      </c>
      <c r="AJ168" s="5">
        <f t="shared" si="51"/>
        <v>1.0330739299610896</v>
      </c>
      <c r="AK168" s="5">
        <f t="shared" si="52"/>
        <v>16.529182879377434</v>
      </c>
      <c r="AL168" s="5">
        <f t="shared" si="53"/>
        <v>41.322957198443582</v>
      </c>
      <c r="AM168" s="5">
        <f t="shared" si="54"/>
        <v>20.661478599221791</v>
      </c>
      <c r="AN168" s="5">
        <f t="shared" si="55"/>
        <v>61.98443579766537</v>
      </c>
      <c r="AO168" s="1" t="s">
        <v>102</v>
      </c>
    </row>
    <row r="169" spans="1:41" x14ac:dyDescent="0.25">
      <c r="A169" s="1" t="s">
        <v>19</v>
      </c>
      <c r="B169" s="1" t="s">
        <v>29</v>
      </c>
      <c r="C169" s="1" t="s">
        <v>21</v>
      </c>
      <c r="D169" s="1" t="s">
        <v>30</v>
      </c>
      <c r="E169" s="1" t="s">
        <v>96</v>
      </c>
      <c r="F169" s="1" t="s">
        <v>103</v>
      </c>
      <c r="G169" s="1" t="s">
        <v>155</v>
      </c>
      <c r="H169" s="1" t="s">
        <v>330</v>
      </c>
      <c r="I169" s="1" t="s">
        <v>331</v>
      </c>
      <c r="J169" s="1" t="s">
        <v>101</v>
      </c>
      <c r="L169" s="1">
        <v>2901737</v>
      </c>
      <c r="M169" s="1" t="s">
        <v>332</v>
      </c>
      <c r="N169" s="8">
        <f>DATE(2022,8,5)</f>
        <v>44778</v>
      </c>
      <c r="O169" s="8">
        <f>DATE(2022,11,5)</f>
        <v>44870</v>
      </c>
      <c r="P169" s="1">
        <v>200</v>
      </c>
      <c r="Q169" s="1">
        <v>160</v>
      </c>
      <c r="R169" s="1">
        <f t="shared" si="38"/>
        <v>200</v>
      </c>
      <c r="S169" s="1">
        <v>1</v>
      </c>
      <c r="U169" s="1">
        <f t="shared" si="39"/>
        <v>93</v>
      </c>
      <c r="V169" s="7">
        <f t="shared" si="40"/>
        <v>2.150537634408602</v>
      </c>
      <c r="W169" s="7">
        <f t="shared" si="41"/>
        <v>200</v>
      </c>
      <c r="X169" s="7">
        <f t="shared" si="42"/>
        <v>0.25</v>
      </c>
      <c r="AA169" s="8">
        <f t="shared" si="43"/>
        <v>44927</v>
      </c>
      <c r="AB169" s="8">
        <f t="shared" si="44"/>
        <v>45291</v>
      </c>
      <c r="AC169" s="1">
        <v>29</v>
      </c>
      <c r="AD169" s="1">
        <f t="shared" si="45"/>
        <v>0</v>
      </c>
      <c r="AE169" s="1">
        <f t="shared" si="46"/>
        <v>0</v>
      </c>
      <c r="AF169" s="1">
        <f t="shared" si="47"/>
        <v>0</v>
      </c>
      <c r="AG169" s="1">
        <f t="shared" si="48"/>
        <v>0</v>
      </c>
      <c r="AH169" s="1">
        <f t="shared" si="49"/>
        <v>182.5</v>
      </c>
      <c r="AI169" s="5">
        <f t="shared" si="50"/>
        <v>1.9623655913978495</v>
      </c>
      <c r="AJ169" s="5">
        <f t="shared" si="51"/>
        <v>0.49059139784946237</v>
      </c>
      <c r="AK169" s="5">
        <f t="shared" si="52"/>
        <v>7.113575268817204</v>
      </c>
      <c r="AL169" s="5">
        <f t="shared" si="53"/>
        <v>7.113575268817204</v>
      </c>
      <c r="AM169" s="5">
        <f t="shared" si="54"/>
        <v>0</v>
      </c>
      <c r="AN169" s="5">
        <f t="shared" si="55"/>
        <v>7.113575268817204</v>
      </c>
      <c r="AO169" s="1" t="s">
        <v>102</v>
      </c>
    </row>
    <row r="170" spans="1:41" x14ac:dyDescent="0.25">
      <c r="A170" s="1" t="s">
        <v>19</v>
      </c>
      <c r="B170" s="1" t="s">
        <v>29</v>
      </c>
      <c r="C170" s="1" t="s">
        <v>21</v>
      </c>
      <c r="D170" s="1" t="s">
        <v>30</v>
      </c>
      <c r="E170" s="1" t="s">
        <v>96</v>
      </c>
      <c r="F170" s="1" t="s">
        <v>103</v>
      </c>
      <c r="G170" s="1" t="s">
        <v>155</v>
      </c>
      <c r="H170" s="1" t="s">
        <v>333</v>
      </c>
      <c r="I170" s="1" t="s">
        <v>255</v>
      </c>
      <c r="J170" s="1" t="s">
        <v>101</v>
      </c>
      <c r="L170" s="1">
        <v>2901738</v>
      </c>
      <c r="M170" s="1" t="s">
        <v>334</v>
      </c>
      <c r="N170" s="8">
        <f>DATE(2022,8,5)</f>
        <v>44778</v>
      </c>
      <c r="O170" s="8">
        <f>DATE(2022,11,5)</f>
        <v>44870</v>
      </c>
      <c r="P170" s="1">
        <v>200</v>
      </c>
      <c r="Q170" s="1">
        <v>200</v>
      </c>
      <c r="R170" s="1">
        <f t="shared" si="38"/>
        <v>200</v>
      </c>
      <c r="S170" s="1">
        <v>1</v>
      </c>
      <c r="U170" s="1">
        <f t="shared" si="39"/>
        <v>93</v>
      </c>
      <c r="V170" s="7">
        <f t="shared" si="40"/>
        <v>2.150537634408602</v>
      </c>
      <c r="W170" s="7">
        <f t="shared" si="41"/>
        <v>200</v>
      </c>
      <c r="X170" s="7">
        <f t="shared" si="42"/>
        <v>0.25</v>
      </c>
      <c r="AA170" s="8">
        <f t="shared" si="43"/>
        <v>44927</v>
      </c>
      <c r="AB170" s="8">
        <f t="shared" si="44"/>
        <v>45291</v>
      </c>
      <c r="AC170" s="1">
        <v>0</v>
      </c>
      <c r="AD170" s="1">
        <f t="shared" si="45"/>
        <v>0</v>
      </c>
      <c r="AE170" s="1">
        <f t="shared" si="46"/>
        <v>0</v>
      </c>
      <c r="AF170" s="1">
        <f t="shared" si="47"/>
        <v>0</v>
      </c>
      <c r="AG170" s="1">
        <f t="shared" si="48"/>
        <v>0</v>
      </c>
      <c r="AH170" s="1">
        <f t="shared" si="49"/>
        <v>182.5</v>
      </c>
      <c r="AI170" s="5">
        <f t="shared" si="50"/>
        <v>1.9623655913978495</v>
      </c>
      <c r="AJ170" s="5">
        <f t="shared" si="51"/>
        <v>0.49059139784946237</v>
      </c>
      <c r="AK170" s="5">
        <f t="shared" si="52"/>
        <v>0</v>
      </c>
      <c r="AL170" s="5">
        <f t="shared" si="53"/>
        <v>0</v>
      </c>
      <c r="AM170" s="5">
        <f t="shared" si="54"/>
        <v>0</v>
      </c>
      <c r="AN170" s="5">
        <f t="shared" si="55"/>
        <v>0</v>
      </c>
      <c r="AO170" s="1" t="s">
        <v>102</v>
      </c>
    </row>
    <row r="171" spans="1:41" x14ac:dyDescent="0.25">
      <c r="A171" s="1" t="s">
        <v>19</v>
      </c>
      <c r="B171" s="1" t="s">
        <v>29</v>
      </c>
      <c r="C171" s="1" t="s">
        <v>21</v>
      </c>
      <c r="D171" s="1" t="s">
        <v>30</v>
      </c>
      <c r="E171" s="1" t="s">
        <v>96</v>
      </c>
      <c r="F171" s="1" t="s">
        <v>103</v>
      </c>
      <c r="G171" s="1" t="s">
        <v>155</v>
      </c>
      <c r="H171" s="1" t="s">
        <v>335</v>
      </c>
      <c r="I171" s="1" t="s">
        <v>336</v>
      </c>
      <c r="J171" s="1" t="s">
        <v>101</v>
      </c>
      <c r="L171" s="1">
        <v>2901739</v>
      </c>
      <c r="M171" s="1" t="s">
        <v>337</v>
      </c>
      <c r="N171" s="8">
        <f>DATE(2022,8,5)</f>
        <v>44778</v>
      </c>
      <c r="O171" s="8">
        <f>DATE(2022,11,5)</f>
        <v>44870</v>
      </c>
      <c r="P171" s="1">
        <v>200</v>
      </c>
      <c r="Q171" s="1">
        <v>200</v>
      </c>
      <c r="R171" s="1">
        <f t="shared" si="38"/>
        <v>200</v>
      </c>
      <c r="S171" s="1">
        <v>1</v>
      </c>
      <c r="U171" s="1">
        <f t="shared" si="39"/>
        <v>93</v>
      </c>
      <c r="V171" s="7">
        <f t="shared" si="40"/>
        <v>2.150537634408602</v>
      </c>
      <c r="W171" s="7">
        <f t="shared" si="41"/>
        <v>200</v>
      </c>
      <c r="X171" s="7">
        <f t="shared" si="42"/>
        <v>0.25</v>
      </c>
      <c r="AA171" s="8">
        <f t="shared" si="43"/>
        <v>44927</v>
      </c>
      <c r="AB171" s="8">
        <f t="shared" si="44"/>
        <v>45291</v>
      </c>
      <c r="AC171" s="1">
        <v>30</v>
      </c>
      <c r="AD171" s="1">
        <f t="shared" si="45"/>
        <v>0</v>
      </c>
      <c r="AE171" s="1">
        <f t="shared" si="46"/>
        <v>0</v>
      </c>
      <c r="AF171" s="1">
        <f t="shared" si="47"/>
        <v>0</v>
      </c>
      <c r="AG171" s="1">
        <f t="shared" si="48"/>
        <v>0</v>
      </c>
      <c r="AH171" s="1">
        <f t="shared" si="49"/>
        <v>182.5</v>
      </c>
      <c r="AI171" s="5">
        <f t="shared" si="50"/>
        <v>1.9623655913978495</v>
      </c>
      <c r="AJ171" s="5">
        <f t="shared" si="51"/>
        <v>0.49059139784946237</v>
      </c>
      <c r="AK171" s="5">
        <f t="shared" si="52"/>
        <v>7.3588709677419359</v>
      </c>
      <c r="AL171" s="5">
        <f t="shared" si="53"/>
        <v>7.3588709677419359</v>
      </c>
      <c r="AM171" s="5">
        <f t="shared" si="54"/>
        <v>0</v>
      </c>
      <c r="AN171" s="5">
        <f t="shared" si="55"/>
        <v>7.3588709677419359</v>
      </c>
      <c r="AO171" s="1" t="s">
        <v>102</v>
      </c>
    </row>
    <row r="172" spans="1:41" x14ac:dyDescent="0.25">
      <c r="A172" s="1" t="s">
        <v>19</v>
      </c>
      <c r="B172" s="1" t="s">
        <v>29</v>
      </c>
      <c r="C172" s="1" t="s">
        <v>21</v>
      </c>
      <c r="D172" s="1" t="s">
        <v>30</v>
      </c>
      <c r="E172" s="1" t="s">
        <v>96</v>
      </c>
      <c r="F172" s="1" t="s">
        <v>103</v>
      </c>
      <c r="G172" s="1" t="s">
        <v>155</v>
      </c>
      <c r="H172" s="1" t="s">
        <v>338</v>
      </c>
      <c r="I172" s="1" t="s">
        <v>157</v>
      </c>
      <c r="J172" s="1" t="s">
        <v>101</v>
      </c>
      <c r="K172" s="1" t="s">
        <v>163</v>
      </c>
      <c r="L172" s="1">
        <v>2921599</v>
      </c>
      <c r="M172" s="1" t="s">
        <v>339</v>
      </c>
      <c r="N172" s="8">
        <f>DATE(2022,9,1)</f>
        <v>44805</v>
      </c>
      <c r="O172" s="8">
        <f>DATE(2022,10,31)</f>
        <v>44865</v>
      </c>
      <c r="P172" s="1">
        <v>160</v>
      </c>
      <c r="Q172" s="1">
        <v>160</v>
      </c>
      <c r="R172" s="1">
        <f t="shared" si="38"/>
        <v>160</v>
      </c>
      <c r="S172" s="1">
        <v>1</v>
      </c>
      <c r="U172" s="1">
        <f t="shared" si="39"/>
        <v>61</v>
      </c>
      <c r="V172" s="7">
        <f t="shared" si="40"/>
        <v>2.622950819672131</v>
      </c>
      <c r="W172" s="7">
        <f t="shared" si="41"/>
        <v>160</v>
      </c>
      <c r="X172" s="7">
        <f t="shared" si="42"/>
        <v>0.2</v>
      </c>
      <c r="AA172" s="8">
        <f t="shared" si="43"/>
        <v>44927</v>
      </c>
      <c r="AB172" s="8">
        <f t="shared" si="44"/>
        <v>45291</v>
      </c>
      <c r="AC172" s="1">
        <v>0</v>
      </c>
      <c r="AD172" s="1">
        <f t="shared" si="45"/>
        <v>0</v>
      </c>
      <c r="AE172" s="1">
        <f t="shared" si="46"/>
        <v>0</v>
      </c>
      <c r="AF172" s="1">
        <f t="shared" si="47"/>
        <v>0</v>
      </c>
      <c r="AG172" s="1">
        <f t="shared" si="48"/>
        <v>0</v>
      </c>
      <c r="AH172" s="1">
        <f t="shared" si="49"/>
        <v>182.5</v>
      </c>
      <c r="AI172" s="5">
        <f t="shared" si="50"/>
        <v>2.9918032786885247</v>
      </c>
      <c r="AJ172" s="5">
        <f t="shared" si="51"/>
        <v>0.59836065573770492</v>
      </c>
      <c r="AK172" s="5">
        <f t="shared" si="52"/>
        <v>0</v>
      </c>
      <c r="AL172" s="5">
        <f t="shared" si="53"/>
        <v>0</v>
      </c>
      <c r="AM172" s="5">
        <f t="shared" si="54"/>
        <v>0</v>
      </c>
      <c r="AN172" s="5">
        <f t="shared" si="55"/>
        <v>0</v>
      </c>
      <c r="AO172" s="1" t="s">
        <v>102</v>
      </c>
    </row>
    <row r="173" spans="1:41" x14ac:dyDescent="0.25">
      <c r="A173" s="1" t="s">
        <v>19</v>
      </c>
      <c r="B173" s="1" t="s">
        <v>29</v>
      </c>
      <c r="C173" s="1" t="s">
        <v>21</v>
      </c>
      <c r="D173" s="1" t="s">
        <v>30</v>
      </c>
      <c r="E173" s="1" t="s">
        <v>96</v>
      </c>
      <c r="F173" s="1" t="s">
        <v>103</v>
      </c>
      <c r="G173" s="1" t="s">
        <v>114</v>
      </c>
      <c r="H173" s="1" t="s">
        <v>119</v>
      </c>
      <c r="I173" s="1" t="s">
        <v>105</v>
      </c>
      <c r="J173" s="1" t="s">
        <v>106</v>
      </c>
      <c r="K173" s="1" t="s">
        <v>116</v>
      </c>
      <c r="L173" s="1">
        <v>2955894</v>
      </c>
      <c r="M173" s="1" t="s">
        <v>340</v>
      </c>
      <c r="N173" s="8">
        <f>DATE(2023,2,6)</f>
        <v>44963</v>
      </c>
      <c r="O173" s="8">
        <f>DATE(2025,12,20)</f>
        <v>46011</v>
      </c>
      <c r="P173" s="1">
        <v>3706</v>
      </c>
      <c r="Q173" s="1">
        <v>1200</v>
      </c>
      <c r="R173" s="1">
        <f t="shared" si="38"/>
        <v>3200</v>
      </c>
      <c r="S173" s="1">
        <v>2.5</v>
      </c>
      <c r="U173" s="1">
        <f t="shared" si="39"/>
        <v>1049</v>
      </c>
      <c r="V173" s="7">
        <f t="shared" si="40"/>
        <v>3.0505243088655862</v>
      </c>
      <c r="W173" s="7">
        <f t="shared" si="41"/>
        <v>1113.441372735939</v>
      </c>
      <c r="X173" s="7">
        <f t="shared" si="42"/>
        <v>1.3918017159199239</v>
      </c>
      <c r="AA173" s="8">
        <f t="shared" si="43"/>
        <v>44927</v>
      </c>
      <c r="AB173" s="8">
        <f t="shared" si="44"/>
        <v>45291</v>
      </c>
      <c r="AC173" s="1">
        <v>109</v>
      </c>
      <c r="AD173" s="1">
        <f t="shared" si="45"/>
        <v>0</v>
      </c>
      <c r="AE173" s="1">
        <f t="shared" si="46"/>
        <v>329</v>
      </c>
      <c r="AF173" s="1">
        <f t="shared" si="47"/>
        <v>0</v>
      </c>
      <c r="AG173" s="1">
        <f t="shared" si="48"/>
        <v>0</v>
      </c>
      <c r="AH173" s="1">
        <f t="shared" si="49"/>
        <v>0</v>
      </c>
      <c r="AI173" s="5">
        <f t="shared" si="50"/>
        <v>0.90136986301369859</v>
      </c>
      <c r="AJ173" s="5">
        <f t="shared" si="51"/>
        <v>1.2545281220209723</v>
      </c>
      <c r="AK173" s="5">
        <f t="shared" si="52"/>
        <v>136.74356530028598</v>
      </c>
      <c r="AL173" s="5">
        <f t="shared" si="53"/>
        <v>341.85891325071498</v>
      </c>
      <c r="AM173" s="5">
        <f t="shared" si="54"/>
        <v>170.92945662535749</v>
      </c>
      <c r="AN173" s="5">
        <f t="shared" si="55"/>
        <v>512.78836987607247</v>
      </c>
      <c r="AO173" s="1" t="s">
        <v>102</v>
      </c>
    </row>
    <row r="174" spans="1:41" x14ac:dyDescent="0.25">
      <c r="A174" s="1" t="s">
        <v>19</v>
      </c>
      <c r="B174" s="1" t="s">
        <v>29</v>
      </c>
      <c r="C174" s="1" t="s">
        <v>21</v>
      </c>
      <c r="D174" s="1" t="s">
        <v>30</v>
      </c>
      <c r="E174" s="1" t="s">
        <v>96</v>
      </c>
      <c r="F174" s="1" t="s">
        <v>103</v>
      </c>
      <c r="G174" s="1" t="s">
        <v>114</v>
      </c>
      <c r="H174" s="1" t="s">
        <v>247</v>
      </c>
      <c r="I174" s="1" t="s">
        <v>162</v>
      </c>
      <c r="J174" s="1" t="s">
        <v>101</v>
      </c>
      <c r="K174" s="1" t="s">
        <v>116</v>
      </c>
      <c r="L174" s="1">
        <v>2955903</v>
      </c>
      <c r="M174" s="1" t="s">
        <v>341</v>
      </c>
      <c r="N174" s="8">
        <f>DATE(2023,2,6)</f>
        <v>44963</v>
      </c>
      <c r="O174" s="8">
        <f>DATE(2025,12,20)</f>
        <v>46011</v>
      </c>
      <c r="P174" s="1">
        <v>3628</v>
      </c>
      <c r="Q174" s="1">
        <v>1200</v>
      </c>
      <c r="R174" s="1">
        <f t="shared" si="38"/>
        <v>3200</v>
      </c>
      <c r="S174" s="1">
        <v>1.5</v>
      </c>
      <c r="U174" s="1">
        <f t="shared" si="39"/>
        <v>1049</v>
      </c>
      <c r="V174" s="7">
        <f t="shared" si="40"/>
        <v>3.0505243088655862</v>
      </c>
      <c r="W174" s="7">
        <f t="shared" si="41"/>
        <v>1113.441372735939</v>
      </c>
      <c r="X174" s="7">
        <f t="shared" si="42"/>
        <v>1.3918017159199239</v>
      </c>
      <c r="AA174" s="8">
        <f t="shared" si="43"/>
        <v>44927</v>
      </c>
      <c r="AB174" s="8">
        <f t="shared" si="44"/>
        <v>45291</v>
      </c>
      <c r="AC174" s="1">
        <v>70</v>
      </c>
      <c r="AD174" s="1">
        <f t="shared" si="45"/>
        <v>0</v>
      </c>
      <c r="AE174" s="1">
        <f t="shared" si="46"/>
        <v>329</v>
      </c>
      <c r="AF174" s="1">
        <f t="shared" si="47"/>
        <v>0</v>
      </c>
      <c r="AG174" s="1">
        <f t="shared" si="48"/>
        <v>0</v>
      </c>
      <c r="AH174" s="1">
        <f t="shared" si="49"/>
        <v>0</v>
      </c>
      <c r="AI174" s="5">
        <f t="shared" si="50"/>
        <v>0.90136986301369859</v>
      </c>
      <c r="AJ174" s="5">
        <f t="shared" si="51"/>
        <v>1.2545281220209723</v>
      </c>
      <c r="AK174" s="5">
        <f t="shared" si="52"/>
        <v>87.816968541468057</v>
      </c>
      <c r="AL174" s="5">
        <f t="shared" si="53"/>
        <v>131.72545281220209</v>
      </c>
      <c r="AM174" s="5">
        <f t="shared" si="54"/>
        <v>0</v>
      </c>
      <c r="AN174" s="5">
        <f t="shared" si="55"/>
        <v>131.72545281220209</v>
      </c>
      <c r="AO174" s="1" t="s">
        <v>102</v>
      </c>
    </row>
    <row r="175" spans="1:41" x14ac:dyDescent="0.25">
      <c r="A175" s="1" t="s">
        <v>19</v>
      </c>
      <c r="B175" s="1" t="s">
        <v>29</v>
      </c>
      <c r="C175" s="1" t="s">
        <v>21</v>
      </c>
      <c r="D175" s="1" t="s">
        <v>30</v>
      </c>
      <c r="E175" s="1" t="s">
        <v>96</v>
      </c>
      <c r="F175" s="1" t="s">
        <v>103</v>
      </c>
      <c r="G175" s="1" t="s">
        <v>114</v>
      </c>
      <c r="H175" s="1" t="s">
        <v>119</v>
      </c>
      <c r="I175" s="1" t="s">
        <v>105</v>
      </c>
      <c r="J175" s="1" t="s">
        <v>106</v>
      </c>
      <c r="K175" s="1" t="s">
        <v>175</v>
      </c>
      <c r="L175" s="1">
        <v>2956086</v>
      </c>
      <c r="M175" s="1" t="s">
        <v>342</v>
      </c>
      <c r="N175" s="8">
        <f>DATE(2023,2,6)</f>
        <v>44963</v>
      </c>
      <c r="O175" s="8">
        <f>DATE(2024,6,30)</f>
        <v>45473</v>
      </c>
      <c r="P175" s="1">
        <v>1418</v>
      </c>
      <c r="Q175" s="1">
        <v>1200</v>
      </c>
      <c r="R175" s="1">
        <f t="shared" si="38"/>
        <v>1200</v>
      </c>
      <c r="S175" s="1">
        <v>2.5</v>
      </c>
      <c r="U175" s="1">
        <f t="shared" si="39"/>
        <v>511</v>
      </c>
      <c r="V175" s="7">
        <f t="shared" si="40"/>
        <v>2.3483365949119372</v>
      </c>
      <c r="W175" s="7">
        <f t="shared" si="41"/>
        <v>857.14285714285711</v>
      </c>
      <c r="X175" s="7">
        <f t="shared" si="42"/>
        <v>1.0714285714285714</v>
      </c>
      <c r="AA175" s="8">
        <f t="shared" si="43"/>
        <v>44927</v>
      </c>
      <c r="AB175" s="8">
        <f t="shared" si="44"/>
        <v>45291</v>
      </c>
      <c r="AC175" s="1">
        <v>31</v>
      </c>
      <c r="AD175" s="1">
        <f t="shared" si="45"/>
        <v>0</v>
      </c>
      <c r="AE175" s="1">
        <f t="shared" si="46"/>
        <v>329</v>
      </c>
      <c r="AF175" s="1">
        <f t="shared" si="47"/>
        <v>0</v>
      </c>
      <c r="AG175" s="1">
        <f t="shared" si="48"/>
        <v>0</v>
      </c>
      <c r="AH175" s="1">
        <f t="shared" si="49"/>
        <v>0</v>
      </c>
      <c r="AI175" s="5">
        <f t="shared" si="50"/>
        <v>0.90136986301369859</v>
      </c>
      <c r="AJ175" s="5">
        <f t="shared" si="51"/>
        <v>0.96575342465753422</v>
      </c>
      <c r="AK175" s="5">
        <f t="shared" si="52"/>
        <v>29.93835616438356</v>
      </c>
      <c r="AL175" s="5">
        <f t="shared" si="53"/>
        <v>74.845890410958901</v>
      </c>
      <c r="AM175" s="5">
        <f t="shared" si="54"/>
        <v>37.422945205479451</v>
      </c>
      <c r="AN175" s="5">
        <f t="shared" si="55"/>
        <v>112.26883561643835</v>
      </c>
      <c r="AO175" s="1" t="s">
        <v>102</v>
      </c>
    </row>
    <row r="176" spans="1:41" x14ac:dyDescent="0.25">
      <c r="A176" s="1" t="s">
        <v>19</v>
      </c>
      <c r="B176" s="1" t="s">
        <v>29</v>
      </c>
      <c r="C176" s="1" t="s">
        <v>21</v>
      </c>
      <c r="D176" s="1" t="s">
        <v>30</v>
      </c>
      <c r="E176" s="1" t="s">
        <v>96</v>
      </c>
      <c r="F176" s="1" t="s">
        <v>103</v>
      </c>
      <c r="G176" s="1" t="s">
        <v>320</v>
      </c>
      <c r="H176" s="1" t="s">
        <v>321</v>
      </c>
      <c r="I176" s="1" t="s">
        <v>174</v>
      </c>
      <c r="J176" s="1" t="s">
        <v>101</v>
      </c>
      <c r="L176" s="1">
        <v>2956123</v>
      </c>
      <c r="M176" s="1" t="s">
        <v>343</v>
      </c>
      <c r="N176" s="8">
        <f>DATE(2023,2,6)</f>
        <v>44963</v>
      </c>
      <c r="O176" s="8">
        <f>DATE(2026,12,20)</f>
        <v>46376</v>
      </c>
      <c r="P176" s="1">
        <v>3200</v>
      </c>
      <c r="Q176" s="1">
        <v>3200</v>
      </c>
      <c r="R176" s="1">
        <f t="shared" si="38"/>
        <v>3200</v>
      </c>
      <c r="S176" s="1">
        <v>2.5</v>
      </c>
      <c r="U176" s="1">
        <f t="shared" si="39"/>
        <v>1414</v>
      </c>
      <c r="V176" s="7">
        <f t="shared" si="40"/>
        <v>2.2630834512022631</v>
      </c>
      <c r="W176" s="7">
        <f t="shared" si="41"/>
        <v>826.025459688826</v>
      </c>
      <c r="X176" s="7">
        <f t="shared" si="42"/>
        <v>1.0325318246110324</v>
      </c>
      <c r="AA176" s="8">
        <f t="shared" si="43"/>
        <v>44927</v>
      </c>
      <c r="AB176" s="8">
        <f t="shared" si="44"/>
        <v>45291</v>
      </c>
      <c r="AC176" s="1">
        <v>18</v>
      </c>
      <c r="AD176" s="1">
        <f t="shared" si="45"/>
        <v>0</v>
      </c>
      <c r="AE176" s="1">
        <f t="shared" si="46"/>
        <v>329</v>
      </c>
      <c r="AF176" s="1">
        <f t="shared" si="47"/>
        <v>0</v>
      </c>
      <c r="AG176" s="1">
        <f t="shared" si="48"/>
        <v>0</v>
      </c>
      <c r="AH176" s="1">
        <f t="shared" si="49"/>
        <v>0</v>
      </c>
      <c r="AI176" s="5">
        <f t="shared" si="50"/>
        <v>0.90136986301369859</v>
      </c>
      <c r="AJ176" s="5">
        <f t="shared" si="51"/>
        <v>0.93069306930693052</v>
      </c>
      <c r="AK176" s="5">
        <f t="shared" si="52"/>
        <v>16.75247524752475</v>
      </c>
      <c r="AL176" s="5">
        <f t="shared" si="53"/>
        <v>41.881188118811878</v>
      </c>
      <c r="AM176" s="5">
        <f t="shared" si="54"/>
        <v>0</v>
      </c>
      <c r="AN176" s="5">
        <f t="shared" si="55"/>
        <v>41.881188118811878</v>
      </c>
      <c r="AO176" s="1" t="s">
        <v>102</v>
      </c>
    </row>
    <row r="177" spans="1:41" x14ac:dyDescent="0.25">
      <c r="A177" s="1" t="s">
        <v>19</v>
      </c>
      <c r="B177" s="1" t="s">
        <v>29</v>
      </c>
      <c r="C177" s="1" t="s">
        <v>21</v>
      </c>
      <c r="D177" s="1" t="s">
        <v>30</v>
      </c>
      <c r="E177" s="1" t="s">
        <v>96</v>
      </c>
      <c r="F177" s="1" t="s">
        <v>103</v>
      </c>
      <c r="G177" s="1" t="s">
        <v>98</v>
      </c>
      <c r="H177" s="1" t="s">
        <v>295</v>
      </c>
      <c r="I177" s="1" t="s">
        <v>105</v>
      </c>
      <c r="J177" s="1" t="s">
        <v>106</v>
      </c>
      <c r="L177" s="1">
        <v>2956131</v>
      </c>
      <c r="M177" s="1" t="s">
        <v>344</v>
      </c>
      <c r="N177" s="8">
        <f>DATE(2023,2,6)</f>
        <v>44963</v>
      </c>
      <c r="O177" s="8">
        <f>DATE(2027,12,20)</f>
        <v>46741</v>
      </c>
      <c r="P177" s="1">
        <v>4046</v>
      </c>
      <c r="Q177" s="1">
        <v>3600</v>
      </c>
      <c r="R177" s="1">
        <f t="shared" si="38"/>
        <v>3600</v>
      </c>
      <c r="S177" s="1">
        <v>2.5</v>
      </c>
      <c r="U177" s="1">
        <f t="shared" si="39"/>
        <v>1779</v>
      </c>
      <c r="V177" s="7">
        <f t="shared" si="40"/>
        <v>2.0236087689713322</v>
      </c>
      <c r="W177" s="7">
        <f t="shared" si="41"/>
        <v>738.61720067453632</v>
      </c>
      <c r="X177" s="7">
        <f t="shared" si="42"/>
        <v>0.92327150084317045</v>
      </c>
      <c r="AA177" s="8">
        <f t="shared" si="43"/>
        <v>44927</v>
      </c>
      <c r="AB177" s="8">
        <f t="shared" si="44"/>
        <v>45291</v>
      </c>
      <c r="AC177" s="1">
        <v>28</v>
      </c>
      <c r="AD177" s="1">
        <f t="shared" si="45"/>
        <v>0</v>
      </c>
      <c r="AE177" s="1">
        <f t="shared" si="46"/>
        <v>329</v>
      </c>
      <c r="AF177" s="1">
        <f t="shared" si="47"/>
        <v>0</v>
      </c>
      <c r="AG177" s="1">
        <f t="shared" si="48"/>
        <v>0</v>
      </c>
      <c r="AH177" s="1">
        <f t="shared" si="49"/>
        <v>0</v>
      </c>
      <c r="AI177" s="5">
        <f t="shared" si="50"/>
        <v>0.90136986301369859</v>
      </c>
      <c r="AJ177" s="5">
        <f t="shared" si="51"/>
        <v>0.83220910623946043</v>
      </c>
      <c r="AK177" s="5">
        <f t="shared" si="52"/>
        <v>23.301854974704892</v>
      </c>
      <c r="AL177" s="5">
        <f t="shared" si="53"/>
        <v>58.254637436762231</v>
      </c>
      <c r="AM177" s="5">
        <f t="shared" si="54"/>
        <v>29.127318718381115</v>
      </c>
      <c r="AN177" s="5">
        <f t="shared" si="55"/>
        <v>87.381956155143342</v>
      </c>
      <c r="AO177" s="1" t="s">
        <v>102</v>
      </c>
    </row>
    <row r="178" spans="1:41" x14ac:dyDescent="0.25">
      <c r="A178" s="1" t="s">
        <v>19</v>
      </c>
      <c r="B178" s="1" t="s">
        <v>29</v>
      </c>
      <c r="C178" s="1" t="s">
        <v>21</v>
      </c>
      <c r="D178" s="1" t="s">
        <v>30</v>
      </c>
      <c r="E178" s="1" t="s">
        <v>172</v>
      </c>
      <c r="F178" s="1" t="s">
        <v>103</v>
      </c>
      <c r="G178" s="1" t="s">
        <v>114</v>
      </c>
      <c r="H178" s="1" t="s">
        <v>173</v>
      </c>
      <c r="I178" s="1" t="s">
        <v>174</v>
      </c>
      <c r="J178" s="1" t="s">
        <v>101</v>
      </c>
      <c r="K178" s="1" t="s">
        <v>175</v>
      </c>
      <c r="L178" s="1">
        <v>2975674</v>
      </c>
      <c r="M178" s="1" t="s">
        <v>345</v>
      </c>
      <c r="N178" s="8">
        <f>DATE(2023,4,3)</f>
        <v>45019</v>
      </c>
      <c r="O178" s="8">
        <f>DATE(2024,10,31)</f>
        <v>45596</v>
      </c>
      <c r="P178" s="1">
        <v>1200</v>
      </c>
      <c r="Q178" s="1">
        <v>1200</v>
      </c>
      <c r="R178" s="1">
        <f t="shared" si="38"/>
        <v>1200</v>
      </c>
      <c r="S178" s="1">
        <v>2</v>
      </c>
      <c r="U178" s="1">
        <f t="shared" si="39"/>
        <v>578</v>
      </c>
      <c r="V178" s="7">
        <f t="shared" si="40"/>
        <v>2.0761245674740483</v>
      </c>
      <c r="W178" s="7">
        <f t="shared" si="41"/>
        <v>757.78546712802768</v>
      </c>
      <c r="X178" s="7">
        <f t="shared" si="42"/>
        <v>0.94723183391003463</v>
      </c>
      <c r="AA178" s="8">
        <f t="shared" si="43"/>
        <v>44927</v>
      </c>
      <c r="AB178" s="8">
        <f t="shared" si="44"/>
        <v>45291</v>
      </c>
      <c r="AC178" s="1">
        <v>34</v>
      </c>
      <c r="AD178" s="1">
        <f t="shared" si="45"/>
        <v>0</v>
      </c>
      <c r="AE178" s="1">
        <f t="shared" si="46"/>
        <v>273</v>
      </c>
      <c r="AF178" s="1">
        <f t="shared" si="47"/>
        <v>0</v>
      </c>
      <c r="AG178" s="1">
        <f t="shared" si="48"/>
        <v>0</v>
      </c>
      <c r="AH178" s="1">
        <f t="shared" si="49"/>
        <v>0</v>
      </c>
      <c r="AI178" s="5">
        <f t="shared" si="50"/>
        <v>0.74794520547945209</v>
      </c>
      <c r="AJ178" s="5">
        <f t="shared" si="51"/>
        <v>0.70847750865051906</v>
      </c>
      <c r="AK178" s="5">
        <f t="shared" si="52"/>
        <v>24.088235294117649</v>
      </c>
      <c r="AL178" s="5">
        <f t="shared" si="53"/>
        <v>48.176470588235297</v>
      </c>
      <c r="AM178" s="5">
        <f t="shared" si="54"/>
        <v>0</v>
      </c>
      <c r="AN178" s="5">
        <f t="shared" si="55"/>
        <v>48.176470588235297</v>
      </c>
      <c r="AO178" s="1" t="s">
        <v>122</v>
      </c>
    </row>
    <row r="179" spans="1:41" x14ac:dyDescent="0.25">
      <c r="A179" s="1" t="s">
        <v>19</v>
      </c>
      <c r="B179" s="1" t="s">
        <v>29</v>
      </c>
      <c r="C179" s="1" t="s">
        <v>21</v>
      </c>
      <c r="D179" s="1" t="s">
        <v>30</v>
      </c>
      <c r="E179" s="1" t="s">
        <v>172</v>
      </c>
      <c r="F179" s="1" t="s">
        <v>103</v>
      </c>
      <c r="G179" s="1" t="s">
        <v>114</v>
      </c>
      <c r="H179" s="1" t="s">
        <v>177</v>
      </c>
      <c r="I179" s="1" t="s">
        <v>174</v>
      </c>
      <c r="J179" s="1" t="s">
        <v>101</v>
      </c>
      <c r="K179" s="1" t="s">
        <v>175</v>
      </c>
      <c r="L179" s="1">
        <v>2975706</v>
      </c>
      <c r="M179" s="1" t="s">
        <v>346</v>
      </c>
      <c r="N179" s="8">
        <f>DATE(2023,4,3)</f>
        <v>45019</v>
      </c>
      <c r="O179" s="8">
        <f>DATE(2024,10,31)</f>
        <v>45596</v>
      </c>
      <c r="P179" s="1">
        <v>1200</v>
      </c>
      <c r="Q179" s="1">
        <v>1200</v>
      </c>
      <c r="R179" s="1">
        <f t="shared" si="38"/>
        <v>1200</v>
      </c>
      <c r="S179" s="1">
        <v>1</v>
      </c>
      <c r="U179" s="1">
        <f t="shared" si="39"/>
        <v>578</v>
      </c>
      <c r="V179" s="7">
        <f t="shared" si="40"/>
        <v>2.0761245674740483</v>
      </c>
      <c r="W179" s="7">
        <f t="shared" si="41"/>
        <v>757.78546712802768</v>
      </c>
      <c r="X179" s="7">
        <f t="shared" si="42"/>
        <v>0.94723183391003463</v>
      </c>
      <c r="AA179" s="8">
        <f t="shared" si="43"/>
        <v>44927</v>
      </c>
      <c r="AB179" s="8">
        <f t="shared" si="44"/>
        <v>45291</v>
      </c>
      <c r="AC179" s="1">
        <v>40</v>
      </c>
      <c r="AD179" s="1">
        <f t="shared" si="45"/>
        <v>0</v>
      </c>
      <c r="AE179" s="1">
        <f t="shared" si="46"/>
        <v>273</v>
      </c>
      <c r="AF179" s="1">
        <f t="shared" si="47"/>
        <v>0</v>
      </c>
      <c r="AG179" s="1">
        <f t="shared" si="48"/>
        <v>0</v>
      </c>
      <c r="AH179" s="1">
        <f t="shared" si="49"/>
        <v>0</v>
      </c>
      <c r="AI179" s="5">
        <f t="shared" si="50"/>
        <v>0.74794520547945209</v>
      </c>
      <c r="AJ179" s="5">
        <f t="shared" si="51"/>
        <v>0.70847750865051906</v>
      </c>
      <c r="AK179" s="5">
        <f t="shared" si="52"/>
        <v>28.339100346020764</v>
      </c>
      <c r="AL179" s="5">
        <f t="shared" si="53"/>
        <v>28.339100346020764</v>
      </c>
      <c r="AM179" s="5">
        <f t="shared" si="54"/>
        <v>0</v>
      </c>
      <c r="AN179" s="5">
        <f t="shared" si="55"/>
        <v>28.339100346020764</v>
      </c>
      <c r="AO179" s="1" t="s">
        <v>122</v>
      </c>
    </row>
    <row r="180" spans="1:41" x14ac:dyDescent="0.25">
      <c r="A180" s="1" t="s">
        <v>19</v>
      </c>
      <c r="B180" s="1" t="s">
        <v>29</v>
      </c>
      <c r="C180" s="1" t="s">
        <v>21</v>
      </c>
      <c r="D180" s="1" t="s">
        <v>30</v>
      </c>
      <c r="E180" s="1" t="s">
        <v>172</v>
      </c>
      <c r="F180" s="1" t="s">
        <v>103</v>
      </c>
      <c r="G180" s="1" t="s">
        <v>114</v>
      </c>
      <c r="H180" s="1" t="s">
        <v>179</v>
      </c>
      <c r="I180" s="1" t="s">
        <v>174</v>
      </c>
      <c r="J180" s="1" t="s">
        <v>101</v>
      </c>
      <c r="K180" s="1" t="s">
        <v>175</v>
      </c>
      <c r="L180" s="1">
        <v>2975715</v>
      </c>
      <c r="M180" s="1" t="s">
        <v>347</v>
      </c>
      <c r="N180" s="8">
        <f>DATE(2023,4,3)</f>
        <v>45019</v>
      </c>
      <c r="O180" s="8">
        <f>DATE(2024,10,31)</f>
        <v>45596</v>
      </c>
      <c r="P180" s="1">
        <v>1200</v>
      </c>
      <c r="Q180" s="1">
        <v>800</v>
      </c>
      <c r="R180" s="1">
        <f t="shared" si="38"/>
        <v>800</v>
      </c>
      <c r="S180" s="1">
        <v>1.5</v>
      </c>
      <c r="U180" s="1">
        <f t="shared" si="39"/>
        <v>578</v>
      </c>
      <c r="V180" s="7">
        <f t="shared" si="40"/>
        <v>1.3840830449826989</v>
      </c>
      <c r="W180" s="7">
        <f t="shared" si="41"/>
        <v>505.1903114186851</v>
      </c>
      <c r="X180" s="7">
        <f t="shared" si="42"/>
        <v>0.63148788927335642</v>
      </c>
      <c r="AA180" s="8">
        <f t="shared" si="43"/>
        <v>44927</v>
      </c>
      <c r="AB180" s="8">
        <f t="shared" si="44"/>
        <v>45291</v>
      </c>
      <c r="AC180" s="1">
        <v>15</v>
      </c>
      <c r="AD180" s="1">
        <f t="shared" si="45"/>
        <v>0</v>
      </c>
      <c r="AE180" s="1">
        <f t="shared" si="46"/>
        <v>273</v>
      </c>
      <c r="AF180" s="1">
        <f t="shared" si="47"/>
        <v>0</v>
      </c>
      <c r="AG180" s="1">
        <f t="shared" si="48"/>
        <v>0</v>
      </c>
      <c r="AH180" s="1">
        <f t="shared" si="49"/>
        <v>0</v>
      </c>
      <c r="AI180" s="5">
        <f t="shared" si="50"/>
        <v>0.74794520547945209</v>
      </c>
      <c r="AJ180" s="5">
        <f t="shared" si="51"/>
        <v>0.47231833910034604</v>
      </c>
      <c r="AK180" s="5">
        <f t="shared" si="52"/>
        <v>7.0847750865051911</v>
      </c>
      <c r="AL180" s="5">
        <f t="shared" si="53"/>
        <v>10.627162629757787</v>
      </c>
      <c r="AM180" s="5">
        <f t="shared" si="54"/>
        <v>0</v>
      </c>
      <c r="AN180" s="5">
        <f t="shared" si="55"/>
        <v>10.627162629757787</v>
      </c>
      <c r="AO180" s="1" t="s">
        <v>122</v>
      </c>
    </row>
    <row r="181" spans="1:41" x14ac:dyDescent="0.25">
      <c r="A181" s="1" t="s">
        <v>19</v>
      </c>
      <c r="B181" s="1" t="s">
        <v>29</v>
      </c>
      <c r="C181" s="1" t="s">
        <v>21</v>
      </c>
      <c r="D181" s="1" t="s">
        <v>30</v>
      </c>
      <c r="E181" s="1" t="s">
        <v>96</v>
      </c>
      <c r="F181" s="1" t="s">
        <v>103</v>
      </c>
      <c r="G181" s="1" t="s">
        <v>185</v>
      </c>
      <c r="H181" s="1" t="s">
        <v>268</v>
      </c>
      <c r="I181" s="1" t="s">
        <v>105</v>
      </c>
      <c r="J181" s="1" t="s">
        <v>101</v>
      </c>
      <c r="L181" s="1">
        <v>3060458</v>
      </c>
      <c r="M181" s="1" t="s">
        <v>348</v>
      </c>
      <c r="N181" s="8">
        <f>DATE(2023,6,13)</f>
        <v>45090</v>
      </c>
      <c r="O181" s="8">
        <f>DATE(2024,6,14)</f>
        <v>45457</v>
      </c>
      <c r="P181" s="1">
        <v>420</v>
      </c>
      <c r="Q181" s="1">
        <v>360</v>
      </c>
      <c r="R181" s="1">
        <f t="shared" si="38"/>
        <v>360</v>
      </c>
      <c r="S181" s="1">
        <v>2.5</v>
      </c>
      <c r="U181" s="1">
        <f t="shared" si="39"/>
        <v>368</v>
      </c>
      <c r="V181" s="7">
        <f t="shared" si="40"/>
        <v>0.97826086956521741</v>
      </c>
      <c r="W181" s="7">
        <f t="shared" si="41"/>
        <v>357.06521739130437</v>
      </c>
      <c r="X181" s="7">
        <f t="shared" si="42"/>
        <v>0.44633152173913049</v>
      </c>
      <c r="AA181" s="8">
        <f t="shared" si="43"/>
        <v>44927</v>
      </c>
      <c r="AB181" s="8">
        <f t="shared" si="44"/>
        <v>45291</v>
      </c>
      <c r="AC181" s="1">
        <v>40</v>
      </c>
      <c r="AD181" s="1">
        <f t="shared" si="45"/>
        <v>0</v>
      </c>
      <c r="AE181" s="1">
        <f t="shared" si="46"/>
        <v>202</v>
      </c>
      <c r="AF181" s="1">
        <f t="shared" si="47"/>
        <v>0</v>
      </c>
      <c r="AG181" s="1">
        <f t="shared" si="48"/>
        <v>0</v>
      </c>
      <c r="AH181" s="1">
        <f t="shared" si="49"/>
        <v>0</v>
      </c>
      <c r="AI181" s="5">
        <f t="shared" si="50"/>
        <v>0.55342465753424652</v>
      </c>
      <c r="AJ181" s="5">
        <f t="shared" si="51"/>
        <v>0.24701086956521739</v>
      </c>
      <c r="AK181" s="5">
        <f t="shared" si="52"/>
        <v>9.8804347826086953</v>
      </c>
      <c r="AL181" s="5">
        <f t="shared" si="53"/>
        <v>24.701086956521738</v>
      </c>
      <c r="AM181" s="5">
        <f t="shared" si="54"/>
        <v>0</v>
      </c>
      <c r="AN181" s="5">
        <f t="shared" si="55"/>
        <v>24.701086956521738</v>
      </c>
      <c r="AO181" s="1" t="s">
        <v>102</v>
      </c>
    </row>
    <row r="182" spans="1:41" x14ac:dyDescent="0.25">
      <c r="A182" s="1" t="s">
        <v>19</v>
      </c>
      <c r="B182" s="1" t="s">
        <v>29</v>
      </c>
      <c r="C182" s="1" t="s">
        <v>21</v>
      </c>
      <c r="D182" s="1" t="s">
        <v>30</v>
      </c>
      <c r="E182" s="1" t="s">
        <v>96</v>
      </c>
      <c r="F182" s="1" t="s">
        <v>103</v>
      </c>
      <c r="G182" s="1" t="s">
        <v>114</v>
      </c>
      <c r="H182" s="1" t="s">
        <v>119</v>
      </c>
      <c r="I182" s="1" t="s">
        <v>105</v>
      </c>
      <c r="J182" s="1" t="s">
        <v>106</v>
      </c>
      <c r="K182" s="1" t="s">
        <v>175</v>
      </c>
      <c r="L182" s="1">
        <v>3013312</v>
      </c>
      <c r="M182" s="1" t="s">
        <v>349</v>
      </c>
      <c r="N182" s="8">
        <f>DATE(2023,7,24)</f>
        <v>45131</v>
      </c>
      <c r="O182" s="8">
        <f>DATE(2024,12,20)</f>
        <v>45646</v>
      </c>
      <c r="P182" s="1">
        <v>1418</v>
      </c>
      <c r="Q182" s="1">
        <v>1200</v>
      </c>
      <c r="R182" s="1">
        <f t="shared" si="38"/>
        <v>1200</v>
      </c>
      <c r="S182" s="1">
        <v>2.5</v>
      </c>
      <c r="U182" s="1">
        <f t="shared" si="39"/>
        <v>516</v>
      </c>
      <c r="V182" s="7">
        <f t="shared" si="40"/>
        <v>2.3255813953488373</v>
      </c>
      <c r="W182" s="7">
        <f t="shared" si="41"/>
        <v>848.83720930232562</v>
      </c>
      <c r="X182" s="7">
        <f t="shared" si="42"/>
        <v>1.0610465116279071</v>
      </c>
      <c r="AA182" s="8">
        <f t="shared" si="43"/>
        <v>44927</v>
      </c>
      <c r="AB182" s="8">
        <f t="shared" si="44"/>
        <v>45291</v>
      </c>
      <c r="AC182" s="1">
        <v>30</v>
      </c>
      <c r="AD182" s="1">
        <f t="shared" si="45"/>
        <v>0</v>
      </c>
      <c r="AE182" s="1">
        <f t="shared" si="46"/>
        <v>161</v>
      </c>
      <c r="AF182" s="1">
        <f t="shared" si="47"/>
        <v>0</v>
      </c>
      <c r="AG182" s="1">
        <f t="shared" si="48"/>
        <v>0</v>
      </c>
      <c r="AH182" s="1">
        <f t="shared" si="49"/>
        <v>0</v>
      </c>
      <c r="AI182" s="5">
        <f t="shared" si="50"/>
        <v>0.44109589041095892</v>
      </c>
      <c r="AJ182" s="5">
        <f t="shared" si="51"/>
        <v>0.46802325581395354</v>
      </c>
      <c r="AK182" s="5">
        <f t="shared" si="52"/>
        <v>14.040697674418606</v>
      </c>
      <c r="AL182" s="5">
        <f t="shared" si="53"/>
        <v>35.101744186046517</v>
      </c>
      <c r="AM182" s="5">
        <f t="shared" si="54"/>
        <v>17.550872093023258</v>
      </c>
      <c r="AN182" s="5">
        <f t="shared" si="55"/>
        <v>52.652616279069775</v>
      </c>
      <c r="AO182" s="1" t="s">
        <v>102</v>
      </c>
    </row>
    <row r="183" spans="1:41" x14ac:dyDescent="0.25">
      <c r="A183" s="1" t="s">
        <v>19</v>
      </c>
      <c r="B183" s="1" t="s">
        <v>29</v>
      </c>
      <c r="C183" s="1" t="s">
        <v>21</v>
      </c>
      <c r="D183" s="1" t="s">
        <v>30</v>
      </c>
      <c r="E183" s="1" t="s">
        <v>96</v>
      </c>
      <c r="F183" s="1" t="s">
        <v>103</v>
      </c>
      <c r="G183" s="1" t="s">
        <v>155</v>
      </c>
      <c r="H183" s="1" t="s">
        <v>350</v>
      </c>
      <c r="I183" s="1" t="s">
        <v>157</v>
      </c>
      <c r="J183" s="1" t="s">
        <v>101</v>
      </c>
      <c r="L183" s="1">
        <v>3042532</v>
      </c>
      <c r="M183" s="1" t="s">
        <v>351</v>
      </c>
      <c r="N183" s="8">
        <f>DATE(2023,10,2)</f>
        <v>45201</v>
      </c>
      <c r="O183" s="8">
        <f>DATE(2023,12,16)</f>
        <v>45276</v>
      </c>
      <c r="P183" s="1">
        <v>160</v>
      </c>
      <c r="Q183" s="1">
        <v>160</v>
      </c>
      <c r="R183" s="1">
        <f t="shared" si="38"/>
        <v>160</v>
      </c>
      <c r="S183" s="1">
        <v>1</v>
      </c>
      <c r="U183" s="1">
        <f t="shared" si="39"/>
        <v>76</v>
      </c>
      <c r="V183" s="7">
        <f t="shared" si="40"/>
        <v>2.1052631578947367</v>
      </c>
      <c r="W183" s="7">
        <f t="shared" si="41"/>
        <v>160</v>
      </c>
      <c r="X183" s="7">
        <f t="shared" si="42"/>
        <v>0.2</v>
      </c>
      <c r="AA183" s="8">
        <f t="shared" si="43"/>
        <v>44927</v>
      </c>
      <c r="AB183" s="8">
        <f t="shared" si="44"/>
        <v>45291</v>
      </c>
      <c r="AC183" s="1">
        <v>40</v>
      </c>
      <c r="AD183" s="1">
        <f t="shared" si="45"/>
        <v>0</v>
      </c>
      <c r="AE183" s="1">
        <f t="shared" si="46"/>
        <v>0</v>
      </c>
      <c r="AF183" s="1">
        <f t="shared" si="47"/>
        <v>0</v>
      </c>
      <c r="AG183" s="1">
        <f t="shared" si="48"/>
        <v>76</v>
      </c>
      <c r="AH183" s="1">
        <f t="shared" si="49"/>
        <v>0</v>
      </c>
      <c r="AI183" s="5">
        <f t="shared" si="50"/>
        <v>1</v>
      </c>
      <c r="AJ183" s="5">
        <f t="shared" si="51"/>
        <v>0.2</v>
      </c>
      <c r="AK183" s="5">
        <f t="shared" si="52"/>
        <v>8</v>
      </c>
      <c r="AL183" s="5">
        <f t="shared" si="53"/>
        <v>8</v>
      </c>
      <c r="AM183" s="5">
        <f t="shared" si="54"/>
        <v>0</v>
      </c>
      <c r="AN183" s="5">
        <f t="shared" si="55"/>
        <v>8</v>
      </c>
      <c r="AO183" s="1" t="s">
        <v>102</v>
      </c>
    </row>
    <row r="184" spans="1:41" x14ac:dyDescent="0.25">
      <c r="A184" s="1" t="s">
        <v>19</v>
      </c>
      <c r="B184" s="1" t="s">
        <v>29</v>
      </c>
      <c r="C184" s="1" t="s">
        <v>21</v>
      </c>
      <c r="D184" s="1" t="s">
        <v>30</v>
      </c>
      <c r="E184" s="1" t="s">
        <v>96</v>
      </c>
      <c r="F184" s="1" t="s">
        <v>103</v>
      </c>
      <c r="G184" s="1" t="s">
        <v>155</v>
      </c>
      <c r="H184" s="1" t="s">
        <v>338</v>
      </c>
      <c r="I184" s="1" t="s">
        <v>157</v>
      </c>
      <c r="J184" s="1" t="s">
        <v>101</v>
      </c>
      <c r="K184" s="1" t="s">
        <v>163</v>
      </c>
      <c r="L184" s="1">
        <v>3058854</v>
      </c>
      <c r="M184" s="1" t="s">
        <v>352</v>
      </c>
      <c r="N184" s="8">
        <f>DATE(2023,11,1)</f>
        <v>45231</v>
      </c>
      <c r="O184" s="8">
        <f>DATE(2024,4,20)</f>
        <v>45402</v>
      </c>
      <c r="P184" s="1">
        <v>160</v>
      </c>
      <c r="Q184" s="1">
        <v>160</v>
      </c>
      <c r="R184" s="1">
        <f t="shared" si="38"/>
        <v>160</v>
      </c>
      <c r="S184" s="1">
        <v>1</v>
      </c>
      <c r="U184" s="1">
        <f t="shared" si="39"/>
        <v>172</v>
      </c>
      <c r="V184" s="7">
        <f t="shared" si="40"/>
        <v>0.93023255813953487</v>
      </c>
      <c r="W184" s="7">
        <f t="shared" si="41"/>
        <v>160</v>
      </c>
      <c r="X184" s="7">
        <f t="shared" si="42"/>
        <v>0.2</v>
      </c>
      <c r="AA184" s="8">
        <f t="shared" si="43"/>
        <v>44927</v>
      </c>
      <c r="AB184" s="8">
        <f t="shared" si="44"/>
        <v>45291</v>
      </c>
      <c r="AC184" s="1">
        <v>30</v>
      </c>
      <c r="AD184" s="1">
        <f t="shared" si="45"/>
        <v>0</v>
      </c>
      <c r="AE184" s="1">
        <f t="shared" si="46"/>
        <v>61</v>
      </c>
      <c r="AF184" s="1">
        <f t="shared" si="47"/>
        <v>0</v>
      </c>
      <c r="AG184" s="1">
        <f t="shared" si="48"/>
        <v>0</v>
      </c>
      <c r="AH184" s="1">
        <f t="shared" si="49"/>
        <v>0</v>
      </c>
      <c r="AI184" s="5">
        <f t="shared" si="50"/>
        <v>0.35465116279069769</v>
      </c>
      <c r="AJ184" s="5">
        <f t="shared" si="51"/>
        <v>7.0930232558139544E-2</v>
      </c>
      <c r="AK184" s="5">
        <f t="shared" si="52"/>
        <v>2.1279069767441863</v>
      </c>
      <c r="AL184" s="5">
        <f t="shared" si="53"/>
        <v>2.1279069767441863</v>
      </c>
      <c r="AM184" s="5">
        <f t="shared" si="54"/>
        <v>0</v>
      </c>
      <c r="AN184" s="5">
        <f t="shared" si="55"/>
        <v>2.1279069767441863</v>
      </c>
      <c r="AO184" s="1" t="s">
        <v>102</v>
      </c>
    </row>
    <row r="185" spans="1:41" x14ac:dyDescent="0.25">
      <c r="A185" s="1" t="s">
        <v>19</v>
      </c>
      <c r="B185" s="1" t="s">
        <v>31</v>
      </c>
      <c r="C185" s="1" t="s">
        <v>21</v>
      </c>
      <c r="D185" s="1" t="s">
        <v>32</v>
      </c>
      <c r="E185" s="1" t="s">
        <v>96</v>
      </c>
      <c r="F185" s="1" t="s">
        <v>103</v>
      </c>
      <c r="G185" s="1" t="s">
        <v>320</v>
      </c>
      <c r="H185" s="1" t="s">
        <v>353</v>
      </c>
      <c r="I185" s="1" t="s">
        <v>174</v>
      </c>
      <c r="J185" s="1" t="s">
        <v>101</v>
      </c>
      <c r="L185" s="1">
        <v>390221</v>
      </c>
      <c r="M185" s="1" t="s">
        <v>354</v>
      </c>
      <c r="N185" s="8">
        <f>DATE(2010,2,9)</f>
        <v>40218</v>
      </c>
      <c r="O185" s="8">
        <f>DATE(2013,12,9)</f>
        <v>41617</v>
      </c>
      <c r="P185" s="1">
        <v>3456</v>
      </c>
      <c r="Q185" s="1">
        <v>3200</v>
      </c>
      <c r="R185" s="1">
        <f t="shared" si="38"/>
        <v>3200</v>
      </c>
      <c r="S185" s="1">
        <v>2.5</v>
      </c>
      <c r="U185" s="1">
        <f t="shared" si="39"/>
        <v>1400</v>
      </c>
      <c r="V185" s="7">
        <f t="shared" si="40"/>
        <v>2.2857142857142856</v>
      </c>
      <c r="W185" s="7">
        <f t="shared" si="41"/>
        <v>834.28571428571422</v>
      </c>
      <c r="X185" s="7">
        <f t="shared" si="42"/>
        <v>1.0428571428571427</v>
      </c>
      <c r="AA185" s="8">
        <f t="shared" si="43"/>
        <v>44927</v>
      </c>
      <c r="AB185" s="8">
        <f t="shared" si="44"/>
        <v>45291</v>
      </c>
      <c r="AC185" s="1">
        <v>0</v>
      </c>
      <c r="AD185" s="1">
        <f t="shared" si="45"/>
        <v>0</v>
      </c>
      <c r="AE185" s="1">
        <f t="shared" si="46"/>
        <v>0</v>
      </c>
      <c r="AF185" s="1">
        <f t="shared" si="47"/>
        <v>0</v>
      </c>
      <c r="AG185" s="1">
        <f t="shared" si="48"/>
        <v>0</v>
      </c>
      <c r="AH185" s="1">
        <f t="shared" si="49"/>
        <v>182.5</v>
      </c>
      <c r="AI185" s="5">
        <f t="shared" si="50"/>
        <v>0.5</v>
      </c>
      <c r="AJ185" s="5">
        <f t="shared" si="51"/>
        <v>0.52142857142857135</v>
      </c>
      <c r="AK185" s="5">
        <f t="shared" si="52"/>
        <v>0</v>
      </c>
      <c r="AL185" s="5">
        <f t="shared" si="53"/>
        <v>0</v>
      </c>
      <c r="AM185" s="5">
        <f t="shared" si="54"/>
        <v>0</v>
      </c>
      <c r="AN185" s="5">
        <f t="shared" si="55"/>
        <v>0</v>
      </c>
      <c r="AO185" s="1" t="s">
        <v>102</v>
      </c>
    </row>
    <row r="186" spans="1:41" x14ac:dyDescent="0.25">
      <c r="A186" s="1" t="s">
        <v>19</v>
      </c>
      <c r="B186" s="1" t="s">
        <v>31</v>
      </c>
      <c r="C186" s="1" t="s">
        <v>21</v>
      </c>
      <c r="D186" s="1" t="s">
        <v>32</v>
      </c>
      <c r="E186" s="1" t="s">
        <v>96</v>
      </c>
      <c r="F186" s="1" t="s">
        <v>103</v>
      </c>
      <c r="G186" s="1" t="s">
        <v>98</v>
      </c>
      <c r="H186" s="1" t="s">
        <v>355</v>
      </c>
      <c r="I186" s="1" t="s">
        <v>105</v>
      </c>
      <c r="J186" s="1" t="s">
        <v>106</v>
      </c>
      <c r="L186" s="1">
        <v>806661</v>
      </c>
      <c r="M186" s="1" t="s">
        <v>356</v>
      </c>
      <c r="N186" s="8">
        <f>DATE(2011,3,1)</f>
        <v>40603</v>
      </c>
      <c r="O186" s="8">
        <f>DATE(2015,12,23)</f>
        <v>42361</v>
      </c>
      <c r="P186" s="1">
        <v>4770</v>
      </c>
      <c r="Q186" s="1">
        <v>3600</v>
      </c>
      <c r="R186" s="1">
        <f t="shared" si="38"/>
        <v>3600</v>
      </c>
      <c r="S186" s="1">
        <v>2.5</v>
      </c>
      <c r="U186" s="1">
        <f t="shared" si="39"/>
        <v>1759</v>
      </c>
      <c r="V186" s="7">
        <f t="shared" si="40"/>
        <v>2.0466173962478682</v>
      </c>
      <c r="W186" s="7">
        <f t="shared" si="41"/>
        <v>747.01534963047186</v>
      </c>
      <c r="X186" s="7">
        <f t="shared" si="42"/>
        <v>0.93376918703808987</v>
      </c>
      <c r="AA186" s="8">
        <f t="shared" si="43"/>
        <v>44927</v>
      </c>
      <c r="AB186" s="8">
        <f t="shared" si="44"/>
        <v>45291</v>
      </c>
      <c r="AC186" s="1">
        <v>0</v>
      </c>
      <c r="AD186" s="1">
        <f t="shared" si="45"/>
        <v>0</v>
      </c>
      <c r="AE186" s="1">
        <f t="shared" si="46"/>
        <v>0</v>
      </c>
      <c r="AF186" s="1">
        <f t="shared" si="47"/>
        <v>0</v>
      </c>
      <c r="AG186" s="1">
        <f t="shared" si="48"/>
        <v>0</v>
      </c>
      <c r="AH186" s="1">
        <f t="shared" si="49"/>
        <v>182.5</v>
      </c>
      <c r="AI186" s="5">
        <f t="shared" si="50"/>
        <v>0.5</v>
      </c>
      <c r="AJ186" s="5">
        <f t="shared" si="51"/>
        <v>0.46688459351904493</v>
      </c>
      <c r="AK186" s="5">
        <f t="shared" si="52"/>
        <v>0</v>
      </c>
      <c r="AL186" s="5">
        <f t="shared" si="53"/>
        <v>0</v>
      </c>
      <c r="AM186" s="5">
        <f t="shared" si="54"/>
        <v>0</v>
      </c>
      <c r="AN186" s="5">
        <f t="shared" si="55"/>
        <v>0</v>
      </c>
      <c r="AO186" s="1" t="s">
        <v>102</v>
      </c>
    </row>
    <row r="187" spans="1:41" x14ac:dyDescent="0.25">
      <c r="A187" s="1" t="s">
        <v>19</v>
      </c>
      <c r="B187" s="1" t="s">
        <v>31</v>
      </c>
      <c r="C187" s="1" t="s">
        <v>21</v>
      </c>
      <c r="D187" s="1" t="s">
        <v>32</v>
      </c>
      <c r="E187" s="1" t="s">
        <v>96</v>
      </c>
      <c r="F187" s="1" t="s">
        <v>103</v>
      </c>
      <c r="G187" s="1" t="s">
        <v>320</v>
      </c>
      <c r="H187" s="1" t="s">
        <v>353</v>
      </c>
      <c r="I187" s="1" t="s">
        <v>174</v>
      </c>
      <c r="J187" s="1" t="s">
        <v>101</v>
      </c>
      <c r="L187" s="1">
        <v>806662</v>
      </c>
      <c r="M187" s="1" t="s">
        <v>357</v>
      </c>
      <c r="N187" s="8">
        <f>DATE(2011,3,1)</f>
        <v>40603</v>
      </c>
      <c r="O187" s="8">
        <f>DATE(2014,12,23)</f>
        <v>41996</v>
      </c>
      <c r="P187" s="1">
        <v>3456</v>
      </c>
      <c r="Q187" s="1">
        <v>3200</v>
      </c>
      <c r="R187" s="1">
        <f t="shared" si="38"/>
        <v>3200</v>
      </c>
      <c r="S187" s="1">
        <v>2.5</v>
      </c>
      <c r="U187" s="1">
        <f t="shared" si="39"/>
        <v>1394</v>
      </c>
      <c r="V187" s="7">
        <f t="shared" si="40"/>
        <v>2.2955523672883786</v>
      </c>
      <c r="W187" s="7">
        <f t="shared" si="41"/>
        <v>837.87661406025825</v>
      </c>
      <c r="X187" s="7">
        <f t="shared" si="42"/>
        <v>1.0473457675753228</v>
      </c>
      <c r="AA187" s="8">
        <f t="shared" si="43"/>
        <v>44927</v>
      </c>
      <c r="AB187" s="8">
        <f t="shared" si="44"/>
        <v>45291</v>
      </c>
      <c r="AC187" s="1">
        <v>0</v>
      </c>
      <c r="AD187" s="1">
        <f t="shared" si="45"/>
        <v>0</v>
      </c>
      <c r="AE187" s="1">
        <f t="shared" si="46"/>
        <v>0</v>
      </c>
      <c r="AF187" s="1">
        <f t="shared" si="47"/>
        <v>0</v>
      </c>
      <c r="AG187" s="1">
        <f t="shared" si="48"/>
        <v>0</v>
      </c>
      <c r="AH187" s="1">
        <f t="shared" si="49"/>
        <v>182.5</v>
      </c>
      <c r="AI187" s="5">
        <f t="shared" si="50"/>
        <v>0.5</v>
      </c>
      <c r="AJ187" s="5">
        <f t="shared" si="51"/>
        <v>0.52367288378766141</v>
      </c>
      <c r="AK187" s="5">
        <f t="shared" si="52"/>
        <v>0</v>
      </c>
      <c r="AL187" s="5">
        <f t="shared" si="53"/>
        <v>0</v>
      </c>
      <c r="AM187" s="5">
        <f t="shared" si="54"/>
        <v>0</v>
      </c>
      <c r="AN187" s="5">
        <f t="shared" si="55"/>
        <v>0</v>
      </c>
      <c r="AO187" s="1" t="s">
        <v>102</v>
      </c>
    </row>
    <row r="188" spans="1:41" x14ac:dyDescent="0.25">
      <c r="A188" s="1" t="s">
        <v>19</v>
      </c>
      <c r="B188" s="1" t="s">
        <v>31</v>
      </c>
      <c r="C188" s="1" t="s">
        <v>21</v>
      </c>
      <c r="D188" s="1" t="s">
        <v>32</v>
      </c>
      <c r="E188" s="1" t="s">
        <v>96</v>
      </c>
      <c r="F188" s="1" t="s">
        <v>103</v>
      </c>
      <c r="G188" s="1" t="s">
        <v>98</v>
      </c>
      <c r="H188" s="1" t="s">
        <v>355</v>
      </c>
      <c r="I188" s="1" t="s">
        <v>105</v>
      </c>
      <c r="J188" s="1" t="s">
        <v>106</v>
      </c>
      <c r="L188" s="1">
        <v>1252226</v>
      </c>
      <c r="M188" s="1" t="s">
        <v>358</v>
      </c>
      <c r="N188" s="8">
        <f>DATE(2012,3,26)</f>
        <v>40994</v>
      </c>
      <c r="O188" s="8">
        <f>DATE(2016,12,22)</f>
        <v>42726</v>
      </c>
      <c r="P188" s="1">
        <v>4770</v>
      </c>
      <c r="Q188" s="1">
        <v>3600</v>
      </c>
      <c r="R188" s="1">
        <f t="shared" si="38"/>
        <v>3600</v>
      </c>
      <c r="S188" s="1">
        <v>2.5</v>
      </c>
      <c r="U188" s="1">
        <f t="shared" si="39"/>
        <v>1733</v>
      </c>
      <c r="V188" s="7">
        <f t="shared" si="40"/>
        <v>2.0773225620311599</v>
      </c>
      <c r="W188" s="7">
        <f t="shared" si="41"/>
        <v>758.22273514137339</v>
      </c>
      <c r="X188" s="7">
        <f t="shared" si="42"/>
        <v>0.94777841892671677</v>
      </c>
      <c r="AA188" s="8">
        <f t="shared" si="43"/>
        <v>44927</v>
      </c>
      <c r="AB188" s="8">
        <f t="shared" si="44"/>
        <v>45291</v>
      </c>
      <c r="AC188" s="1">
        <v>0</v>
      </c>
      <c r="AD188" s="1">
        <f t="shared" si="45"/>
        <v>0</v>
      </c>
      <c r="AE188" s="1">
        <f t="shared" si="46"/>
        <v>0</v>
      </c>
      <c r="AF188" s="1">
        <f t="shared" si="47"/>
        <v>0</v>
      </c>
      <c r="AG188" s="1">
        <f t="shared" si="48"/>
        <v>0</v>
      </c>
      <c r="AH188" s="1">
        <f t="shared" si="49"/>
        <v>182.5</v>
      </c>
      <c r="AI188" s="5">
        <f t="shared" si="50"/>
        <v>0.5</v>
      </c>
      <c r="AJ188" s="5">
        <f t="shared" si="51"/>
        <v>0.47388920946335839</v>
      </c>
      <c r="AK188" s="5">
        <f t="shared" si="52"/>
        <v>0</v>
      </c>
      <c r="AL188" s="5">
        <f t="shared" si="53"/>
        <v>0</v>
      </c>
      <c r="AM188" s="5">
        <f t="shared" si="54"/>
        <v>0</v>
      </c>
      <c r="AN188" s="5">
        <f t="shared" si="55"/>
        <v>0</v>
      </c>
      <c r="AO188" s="1" t="s">
        <v>102</v>
      </c>
    </row>
    <row r="189" spans="1:41" x14ac:dyDescent="0.25">
      <c r="A189" s="1" t="s">
        <v>19</v>
      </c>
      <c r="B189" s="1" t="s">
        <v>31</v>
      </c>
      <c r="C189" s="1" t="s">
        <v>21</v>
      </c>
      <c r="D189" s="1" t="s">
        <v>32</v>
      </c>
      <c r="E189" s="1" t="s">
        <v>96</v>
      </c>
      <c r="F189" s="1" t="s">
        <v>103</v>
      </c>
      <c r="G189" s="1" t="s">
        <v>320</v>
      </c>
      <c r="H189" s="1" t="s">
        <v>353</v>
      </c>
      <c r="I189" s="1" t="s">
        <v>174</v>
      </c>
      <c r="J189" s="1" t="s">
        <v>101</v>
      </c>
      <c r="L189" s="1">
        <v>1252232</v>
      </c>
      <c r="M189" s="1" t="s">
        <v>359</v>
      </c>
      <c r="N189" s="8">
        <f>DATE(2012,3,26)</f>
        <v>40994</v>
      </c>
      <c r="O189" s="8">
        <f>DATE(2015,12,18)</f>
        <v>42356</v>
      </c>
      <c r="P189" s="1">
        <v>3456</v>
      </c>
      <c r="Q189" s="1">
        <v>3200</v>
      </c>
      <c r="R189" s="1">
        <f t="shared" si="38"/>
        <v>3200</v>
      </c>
      <c r="S189" s="1">
        <v>2.5</v>
      </c>
      <c r="U189" s="1">
        <f t="shared" si="39"/>
        <v>1363</v>
      </c>
      <c r="V189" s="7">
        <f t="shared" si="40"/>
        <v>2.3477622890682319</v>
      </c>
      <c r="W189" s="7">
        <f t="shared" si="41"/>
        <v>856.93323550990465</v>
      </c>
      <c r="X189" s="7">
        <f t="shared" si="42"/>
        <v>1.0711665443873808</v>
      </c>
      <c r="AA189" s="8">
        <f t="shared" si="43"/>
        <v>44927</v>
      </c>
      <c r="AB189" s="8">
        <f t="shared" si="44"/>
        <v>45291</v>
      </c>
      <c r="AC189" s="1">
        <v>1</v>
      </c>
      <c r="AD189" s="1">
        <f t="shared" si="45"/>
        <v>0</v>
      </c>
      <c r="AE189" s="1">
        <f t="shared" si="46"/>
        <v>0</v>
      </c>
      <c r="AF189" s="1">
        <f t="shared" si="47"/>
        <v>0</v>
      </c>
      <c r="AG189" s="1">
        <f t="shared" si="48"/>
        <v>0</v>
      </c>
      <c r="AH189" s="1">
        <f t="shared" si="49"/>
        <v>182.5</v>
      </c>
      <c r="AI189" s="5">
        <f t="shared" si="50"/>
        <v>0.5</v>
      </c>
      <c r="AJ189" s="5">
        <f t="shared" si="51"/>
        <v>0.5355832721936904</v>
      </c>
      <c r="AK189" s="5">
        <f t="shared" si="52"/>
        <v>0</v>
      </c>
      <c r="AL189" s="5">
        <f t="shared" si="53"/>
        <v>0</v>
      </c>
      <c r="AM189" s="5">
        <f t="shared" si="54"/>
        <v>0</v>
      </c>
      <c r="AN189" s="5">
        <f t="shared" si="55"/>
        <v>0</v>
      </c>
      <c r="AO189" s="1" t="s">
        <v>102</v>
      </c>
    </row>
    <row r="190" spans="1:41" x14ac:dyDescent="0.25">
      <c r="A190" s="1" t="s">
        <v>19</v>
      </c>
      <c r="B190" s="1" t="s">
        <v>31</v>
      </c>
      <c r="C190" s="1" t="s">
        <v>21</v>
      </c>
      <c r="D190" s="1" t="s">
        <v>32</v>
      </c>
      <c r="E190" s="1" t="s">
        <v>96</v>
      </c>
      <c r="F190" s="1" t="s">
        <v>103</v>
      </c>
      <c r="G190" s="1" t="s">
        <v>127</v>
      </c>
      <c r="H190" s="1" t="s">
        <v>360</v>
      </c>
      <c r="I190" s="1" t="s">
        <v>255</v>
      </c>
      <c r="J190" s="1" t="s">
        <v>106</v>
      </c>
      <c r="L190" s="1">
        <v>1252383</v>
      </c>
      <c r="M190" s="1" t="s">
        <v>361</v>
      </c>
      <c r="N190" s="8">
        <f>DATE(2012,3,26)</f>
        <v>40994</v>
      </c>
      <c r="O190" s="8">
        <f>DATE(2014,12,19)</f>
        <v>41992</v>
      </c>
      <c r="P190" s="1">
        <v>2628</v>
      </c>
      <c r="Q190" s="1">
        <v>2400</v>
      </c>
      <c r="R190" s="1">
        <f t="shared" si="38"/>
        <v>2400</v>
      </c>
      <c r="S190" s="1">
        <v>2.5</v>
      </c>
      <c r="U190" s="1">
        <f t="shared" si="39"/>
        <v>999</v>
      </c>
      <c r="V190" s="7">
        <f t="shared" si="40"/>
        <v>2.4024024024024024</v>
      </c>
      <c r="W190" s="7">
        <f t="shared" si="41"/>
        <v>876.87687687687685</v>
      </c>
      <c r="X190" s="7">
        <f t="shared" si="42"/>
        <v>1.0960960960960962</v>
      </c>
      <c r="AA190" s="8">
        <f t="shared" si="43"/>
        <v>44927</v>
      </c>
      <c r="AB190" s="8">
        <f t="shared" si="44"/>
        <v>45291</v>
      </c>
      <c r="AC190" s="1">
        <v>0</v>
      </c>
      <c r="AD190" s="1">
        <f t="shared" si="45"/>
        <v>0</v>
      </c>
      <c r="AE190" s="1">
        <f t="shared" si="46"/>
        <v>0</v>
      </c>
      <c r="AF190" s="1">
        <f t="shared" si="47"/>
        <v>0</v>
      </c>
      <c r="AG190" s="1">
        <f t="shared" si="48"/>
        <v>0</v>
      </c>
      <c r="AH190" s="1">
        <f t="shared" si="49"/>
        <v>182.5</v>
      </c>
      <c r="AI190" s="5">
        <f t="shared" si="50"/>
        <v>0.5</v>
      </c>
      <c r="AJ190" s="5">
        <f t="shared" si="51"/>
        <v>0.54804804804804808</v>
      </c>
      <c r="AK190" s="5">
        <f t="shared" si="52"/>
        <v>0</v>
      </c>
      <c r="AL190" s="5">
        <f t="shared" si="53"/>
        <v>0</v>
      </c>
      <c r="AM190" s="5">
        <f t="shared" si="54"/>
        <v>0</v>
      </c>
      <c r="AN190" s="5">
        <f t="shared" si="55"/>
        <v>0</v>
      </c>
      <c r="AO190" s="1" t="s">
        <v>102</v>
      </c>
    </row>
    <row r="191" spans="1:41" x14ac:dyDescent="0.25">
      <c r="A191" s="1" t="s">
        <v>19</v>
      </c>
      <c r="B191" s="1" t="s">
        <v>31</v>
      </c>
      <c r="C191" s="1" t="s">
        <v>21</v>
      </c>
      <c r="D191" s="1" t="s">
        <v>32</v>
      </c>
      <c r="E191" s="1" t="s">
        <v>96</v>
      </c>
      <c r="F191" s="1" t="s">
        <v>103</v>
      </c>
      <c r="G191" s="1" t="s">
        <v>98</v>
      </c>
      <c r="H191" s="1" t="s">
        <v>355</v>
      </c>
      <c r="I191" s="1" t="s">
        <v>105</v>
      </c>
      <c r="J191" s="1" t="s">
        <v>106</v>
      </c>
      <c r="L191" s="1">
        <v>1320473</v>
      </c>
      <c r="M191" s="1" t="s">
        <v>362</v>
      </c>
      <c r="N191" s="8">
        <f>DATE(2012,8,27)</f>
        <v>41148</v>
      </c>
      <c r="O191" s="8">
        <f>DATE(2017,7,27)</f>
        <v>42943</v>
      </c>
      <c r="P191" s="1">
        <v>4770</v>
      </c>
      <c r="Q191" s="1">
        <v>3600</v>
      </c>
      <c r="R191" s="1">
        <f t="shared" si="38"/>
        <v>3600</v>
      </c>
      <c r="S191" s="1">
        <v>2.5</v>
      </c>
      <c r="U191" s="1">
        <f t="shared" si="39"/>
        <v>1796</v>
      </c>
      <c r="V191" s="7">
        <f t="shared" si="40"/>
        <v>2.0044543429844097</v>
      </c>
      <c r="W191" s="7">
        <f t="shared" si="41"/>
        <v>731.62583518930956</v>
      </c>
      <c r="X191" s="7">
        <f t="shared" si="42"/>
        <v>0.91453229398663693</v>
      </c>
      <c r="AA191" s="8">
        <f t="shared" si="43"/>
        <v>44927</v>
      </c>
      <c r="AB191" s="8">
        <f t="shared" si="44"/>
        <v>45291</v>
      </c>
      <c r="AC191" s="1">
        <v>1</v>
      </c>
      <c r="AD191" s="1">
        <f t="shared" si="45"/>
        <v>0</v>
      </c>
      <c r="AE191" s="1">
        <f t="shared" si="46"/>
        <v>0</v>
      </c>
      <c r="AF191" s="1">
        <f t="shared" si="47"/>
        <v>0</v>
      </c>
      <c r="AG191" s="1">
        <f t="shared" si="48"/>
        <v>0</v>
      </c>
      <c r="AH191" s="1">
        <f t="shared" si="49"/>
        <v>182.5</v>
      </c>
      <c r="AI191" s="5">
        <f t="shared" si="50"/>
        <v>0.5</v>
      </c>
      <c r="AJ191" s="5">
        <f t="shared" si="51"/>
        <v>0.45726614699331847</v>
      </c>
      <c r="AK191" s="5">
        <f t="shared" si="52"/>
        <v>0</v>
      </c>
      <c r="AL191" s="5">
        <f t="shared" si="53"/>
        <v>0</v>
      </c>
      <c r="AM191" s="5">
        <f t="shared" si="54"/>
        <v>0</v>
      </c>
      <c r="AN191" s="5">
        <f t="shared" si="55"/>
        <v>0</v>
      </c>
      <c r="AO191" s="1" t="s">
        <v>102</v>
      </c>
    </row>
    <row r="192" spans="1:41" x14ac:dyDescent="0.25">
      <c r="A192" s="1" t="s">
        <v>19</v>
      </c>
      <c r="B192" s="1" t="s">
        <v>31</v>
      </c>
      <c r="C192" s="1" t="s">
        <v>21</v>
      </c>
      <c r="D192" s="1" t="s">
        <v>32</v>
      </c>
      <c r="E192" s="1" t="s">
        <v>96</v>
      </c>
      <c r="F192" s="1" t="s">
        <v>103</v>
      </c>
      <c r="G192" s="1" t="s">
        <v>98</v>
      </c>
      <c r="H192" s="1" t="s">
        <v>355</v>
      </c>
      <c r="I192" s="1" t="s">
        <v>105</v>
      </c>
      <c r="J192" s="1" t="s">
        <v>106</v>
      </c>
      <c r="L192" s="1">
        <v>1602106</v>
      </c>
      <c r="M192" s="1" t="s">
        <v>363</v>
      </c>
      <c r="N192" s="8">
        <f>DATE(2013,2,27)</f>
        <v>41332</v>
      </c>
      <c r="O192" s="8">
        <f>DATE(2017,12,22)</f>
        <v>43091</v>
      </c>
      <c r="P192" s="1">
        <v>4770</v>
      </c>
      <c r="Q192" s="1">
        <v>3600</v>
      </c>
      <c r="R192" s="1">
        <f t="shared" si="38"/>
        <v>3600</v>
      </c>
      <c r="S192" s="1">
        <v>2.5</v>
      </c>
      <c r="U192" s="1">
        <f t="shared" si="39"/>
        <v>1760</v>
      </c>
      <c r="V192" s="7">
        <f t="shared" si="40"/>
        <v>2.0454545454545454</v>
      </c>
      <c r="W192" s="7">
        <f t="shared" si="41"/>
        <v>746.59090909090912</v>
      </c>
      <c r="X192" s="7">
        <f t="shared" si="42"/>
        <v>0.93323863636363635</v>
      </c>
      <c r="AA192" s="8">
        <f t="shared" si="43"/>
        <v>44927</v>
      </c>
      <c r="AB192" s="8">
        <f t="shared" si="44"/>
        <v>45291</v>
      </c>
      <c r="AC192" s="1">
        <v>0</v>
      </c>
      <c r="AD192" s="1">
        <f t="shared" si="45"/>
        <v>0</v>
      </c>
      <c r="AE192" s="1">
        <f t="shared" si="46"/>
        <v>0</v>
      </c>
      <c r="AF192" s="1">
        <f t="shared" si="47"/>
        <v>0</v>
      </c>
      <c r="AG192" s="1">
        <f t="shared" si="48"/>
        <v>0</v>
      </c>
      <c r="AH192" s="1">
        <f t="shared" si="49"/>
        <v>182.5</v>
      </c>
      <c r="AI192" s="5">
        <f t="shared" si="50"/>
        <v>0.5</v>
      </c>
      <c r="AJ192" s="5">
        <f t="shared" si="51"/>
        <v>0.46661931818181818</v>
      </c>
      <c r="AK192" s="5">
        <f t="shared" si="52"/>
        <v>0</v>
      </c>
      <c r="AL192" s="5">
        <f t="shared" si="53"/>
        <v>0</v>
      </c>
      <c r="AM192" s="5">
        <f t="shared" si="54"/>
        <v>0</v>
      </c>
      <c r="AN192" s="5">
        <f t="shared" si="55"/>
        <v>0</v>
      </c>
      <c r="AO192" s="1" t="s">
        <v>102</v>
      </c>
    </row>
    <row r="193" spans="1:41" x14ac:dyDescent="0.25">
      <c r="A193" s="1" t="s">
        <v>19</v>
      </c>
      <c r="B193" s="1" t="s">
        <v>31</v>
      </c>
      <c r="C193" s="1" t="s">
        <v>21</v>
      </c>
      <c r="D193" s="1" t="s">
        <v>32</v>
      </c>
      <c r="E193" s="1" t="s">
        <v>96</v>
      </c>
      <c r="F193" s="1" t="s">
        <v>103</v>
      </c>
      <c r="G193" s="1" t="s">
        <v>127</v>
      </c>
      <c r="H193" s="1" t="s">
        <v>360</v>
      </c>
      <c r="I193" s="1" t="s">
        <v>255</v>
      </c>
      <c r="J193" s="1" t="s">
        <v>106</v>
      </c>
      <c r="L193" s="1">
        <v>1602107</v>
      </c>
      <c r="M193" s="1" t="s">
        <v>364</v>
      </c>
      <c r="N193" s="8">
        <f>DATE(2013,2,27)</f>
        <v>41332</v>
      </c>
      <c r="O193" s="8">
        <f>DATE(2015,12,18)</f>
        <v>42356</v>
      </c>
      <c r="P193" s="1">
        <v>2628</v>
      </c>
      <c r="Q193" s="1">
        <v>2400</v>
      </c>
      <c r="R193" s="1">
        <f t="shared" si="38"/>
        <v>2400</v>
      </c>
      <c r="S193" s="1">
        <v>2.5</v>
      </c>
      <c r="U193" s="1">
        <f t="shared" si="39"/>
        <v>1025</v>
      </c>
      <c r="V193" s="7">
        <f t="shared" si="40"/>
        <v>2.3414634146341462</v>
      </c>
      <c r="W193" s="7">
        <f t="shared" si="41"/>
        <v>854.63414634146341</v>
      </c>
      <c r="X193" s="7">
        <f t="shared" si="42"/>
        <v>1.0682926829268293</v>
      </c>
      <c r="AA193" s="8">
        <f t="shared" si="43"/>
        <v>44927</v>
      </c>
      <c r="AB193" s="8">
        <f t="shared" si="44"/>
        <v>45291</v>
      </c>
      <c r="AC193" s="1">
        <v>2</v>
      </c>
      <c r="AD193" s="1">
        <f t="shared" si="45"/>
        <v>0</v>
      </c>
      <c r="AE193" s="1">
        <f t="shared" si="46"/>
        <v>0</v>
      </c>
      <c r="AF193" s="1">
        <f t="shared" si="47"/>
        <v>0</v>
      </c>
      <c r="AG193" s="1">
        <f t="shared" si="48"/>
        <v>0</v>
      </c>
      <c r="AH193" s="1">
        <f t="shared" si="49"/>
        <v>182.5</v>
      </c>
      <c r="AI193" s="5">
        <f t="shared" si="50"/>
        <v>0.5</v>
      </c>
      <c r="AJ193" s="5">
        <f t="shared" si="51"/>
        <v>0.53414634146341466</v>
      </c>
      <c r="AK193" s="5">
        <f t="shared" si="52"/>
        <v>0</v>
      </c>
      <c r="AL193" s="5">
        <f t="shared" si="53"/>
        <v>0</v>
      </c>
      <c r="AM193" s="5">
        <f t="shared" si="54"/>
        <v>0</v>
      </c>
      <c r="AN193" s="5">
        <f t="shared" si="55"/>
        <v>0</v>
      </c>
      <c r="AO193" s="1" t="s">
        <v>102</v>
      </c>
    </row>
    <row r="194" spans="1:41" x14ac:dyDescent="0.25">
      <c r="A194" s="1" t="s">
        <v>19</v>
      </c>
      <c r="B194" s="1" t="s">
        <v>31</v>
      </c>
      <c r="C194" s="1" t="s">
        <v>21</v>
      </c>
      <c r="D194" s="1" t="s">
        <v>32</v>
      </c>
      <c r="E194" s="1" t="s">
        <v>96</v>
      </c>
      <c r="F194" s="1" t="s">
        <v>103</v>
      </c>
      <c r="G194" s="1" t="s">
        <v>320</v>
      </c>
      <c r="H194" s="1" t="s">
        <v>353</v>
      </c>
      <c r="I194" s="1" t="s">
        <v>174</v>
      </c>
      <c r="J194" s="1" t="s">
        <v>101</v>
      </c>
      <c r="L194" s="1">
        <v>1602108</v>
      </c>
      <c r="M194" s="1" t="s">
        <v>365</v>
      </c>
      <c r="N194" s="8">
        <f>DATE(2013,2,27)</f>
        <v>41332</v>
      </c>
      <c r="O194" s="8">
        <f>DATE(2016,12,23)</f>
        <v>42727</v>
      </c>
      <c r="P194" s="1">
        <v>3456</v>
      </c>
      <c r="Q194" s="1">
        <v>3200</v>
      </c>
      <c r="R194" s="1">
        <f t="shared" ref="R194:R257" si="56">IF(OR(G194="QUALIFICACAO PROFISSIONAL (FIC)",G194="DOUTORADO"),P194,
    IF(ISNUMBER(FIND("PROEJA",K194)),2400,
        IF(K194="INTEGRADO",
            IF(Q194=800,3000,
                IF(Q194=1000,3100,
                    IF(Q194=1200,3200,Q194)
                )
            ),
            Q194
        )
    )
)</f>
        <v>3200</v>
      </c>
      <c r="S194" s="1">
        <v>2.5</v>
      </c>
      <c r="U194" s="1">
        <f t="shared" ref="U194:U257" si="57">O194-N194+1</f>
        <v>1396</v>
      </c>
      <c r="V194" s="7">
        <f t="shared" ref="V194:V257" si="58">IF(R194&gt;P194,P194,R194)/U194</f>
        <v>2.2922636103151861</v>
      </c>
      <c r="W194" s="7">
        <f t="shared" ref="W194:W257" si="59">IF(U194&gt;365,V194*365,R194)</f>
        <v>836.67621776504291</v>
      </c>
      <c r="X194" s="7">
        <f t="shared" ref="X194:X257" si="60">IF(U194&gt;365,W194/800,R194/800)</f>
        <v>1.0458452722063036</v>
      </c>
      <c r="AA194" s="8">
        <f t="shared" ref="AA194:AA257" si="61">DATE(2023,1,1)</f>
        <v>44927</v>
      </c>
      <c r="AB194" s="8">
        <f t="shared" ref="AB194:AB257" si="62">DATE(2023,12,31)</f>
        <v>45291</v>
      </c>
      <c r="AC194" s="1">
        <v>2</v>
      </c>
      <c r="AD194" s="1">
        <f t="shared" ref="AD194:AD257" si="63">IF(AND(N194&lt;AA194,O194&gt;AB194),AB194-AA194+1,0)</f>
        <v>0</v>
      </c>
      <c r="AE194" s="1">
        <f t="shared" ref="AE194:AE257" si="64">IF(AND(N194&gt;=AA194,O194&gt;AB194,N194&lt;AB194),AB194-N194+1,0)</f>
        <v>0</v>
      </c>
      <c r="AF194" s="1">
        <f t="shared" ref="AF194:AF257" si="65">IF(AND(N194&lt;AA194,O194&lt;=AB194,O194&gt;=AA194),O194-AA194+1,0)</f>
        <v>0</v>
      </c>
      <c r="AG194" s="1">
        <f t="shared" ref="AG194:AG257" si="66">IF(AND(N194&gt;=AA194,O194&lt;=AB194),O194-N194+1,0)</f>
        <v>0</v>
      </c>
      <c r="AH194" s="1">
        <f t="shared" ref="AH194:AH257" si="67">IF(AND(N194&lt;AA194,O194&lt;AA194),(AB194-AA194+1)/2,0)</f>
        <v>182.5</v>
      </c>
      <c r="AI194" s="5">
        <f t="shared" ref="AI194:AI257" si="68">SUM(AD194:AH194)/IF(U194&gt;=365,AB194-AA194+1,U194)</f>
        <v>0.5</v>
      </c>
      <c r="AJ194" s="5">
        <f t="shared" ref="AJ194:AJ257" si="69">X194*AI194</f>
        <v>0.52292263610315182</v>
      </c>
      <c r="AK194" s="5">
        <f t="shared" ref="AK194:AK257" si="70">IF(AH194=0,AJ194*AC194,IF(AA194-O194&gt;1095,0,AJ194*(AC194/2)))</f>
        <v>0</v>
      </c>
      <c r="AL194" s="5">
        <f t="shared" ref="AL194:AL257" si="71">AK194*S194</f>
        <v>0</v>
      </c>
      <c r="AM194" s="5">
        <f t="shared" ref="AM194:AM257" si="72">IF(J194="SIM",AL194*50%,0)</f>
        <v>0</v>
      </c>
      <c r="AN194" s="5">
        <f t="shared" ref="AN194:AN257" si="73">AL194+AM194</f>
        <v>0</v>
      </c>
      <c r="AO194" s="1" t="s">
        <v>102</v>
      </c>
    </row>
    <row r="195" spans="1:41" x14ac:dyDescent="0.25">
      <c r="A195" s="1" t="s">
        <v>19</v>
      </c>
      <c r="B195" s="1" t="s">
        <v>31</v>
      </c>
      <c r="C195" s="1" t="s">
        <v>21</v>
      </c>
      <c r="D195" s="1" t="s">
        <v>32</v>
      </c>
      <c r="E195" s="1" t="s">
        <v>96</v>
      </c>
      <c r="F195" s="1" t="s">
        <v>103</v>
      </c>
      <c r="G195" s="1" t="s">
        <v>114</v>
      </c>
      <c r="H195" s="1" t="s">
        <v>119</v>
      </c>
      <c r="I195" s="1" t="s">
        <v>105</v>
      </c>
      <c r="J195" s="1" t="s">
        <v>106</v>
      </c>
      <c r="K195" s="1" t="s">
        <v>175</v>
      </c>
      <c r="L195" s="1">
        <v>1949938</v>
      </c>
      <c r="M195" s="1" t="s">
        <v>366</v>
      </c>
      <c r="N195" s="8">
        <f>DATE(2013,9,18)</f>
        <v>41535</v>
      </c>
      <c r="O195" s="8">
        <f>DATE(2014,12,9)</f>
        <v>41982</v>
      </c>
      <c r="P195" s="1">
        <v>1200</v>
      </c>
      <c r="Q195" s="1">
        <v>1200</v>
      </c>
      <c r="R195" s="1">
        <f t="shared" si="56"/>
        <v>1200</v>
      </c>
      <c r="S195" s="1">
        <v>2.5</v>
      </c>
      <c r="U195" s="1">
        <f t="shared" si="57"/>
        <v>448</v>
      </c>
      <c r="V195" s="7">
        <f t="shared" si="58"/>
        <v>2.6785714285714284</v>
      </c>
      <c r="W195" s="7">
        <f t="shared" si="59"/>
        <v>977.67857142857133</v>
      </c>
      <c r="X195" s="7">
        <f t="shared" si="60"/>
        <v>1.2220982142857142</v>
      </c>
      <c r="AA195" s="8">
        <f t="shared" si="61"/>
        <v>44927</v>
      </c>
      <c r="AB195" s="8">
        <f t="shared" si="62"/>
        <v>45291</v>
      </c>
      <c r="AC195" s="1">
        <v>0</v>
      </c>
      <c r="AD195" s="1">
        <f t="shared" si="63"/>
        <v>0</v>
      </c>
      <c r="AE195" s="1">
        <f t="shared" si="64"/>
        <v>0</v>
      </c>
      <c r="AF195" s="1">
        <f t="shared" si="65"/>
        <v>0</v>
      </c>
      <c r="AG195" s="1">
        <f t="shared" si="66"/>
        <v>0</v>
      </c>
      <c r="AH195" s="1">
        <f t="shared" si="67"/>
        <v>182.5</v>
      </c>
      <c r="AI195" s="5">
        <f t="shared" si="68"/>
        <v>0.5</v>
      </c>
      <c r="AJ195" s="5">
        <f t="shared" si="69"/>
        <v>0.6110491071428571</v>
      </c>
      <c r="AK195" s="5">
        <f t="shared" si="70"/>
        <v>0</v>
      </c>
      <c r="AL195" s="5">
        <f t="shared" si="71"/>
        <v>0</v>
      </c>
      <c r="AM195" s="5">
        <f t="shared" si="72"/>
        <v>0</v>
      </c>
      <c r="AN195" s="5">
        <f t="shared" si="73"/>
        <v>0</v>
      </c>
      <c r="AO195" s="1" t="s">
        <v>102</v>
      </c>
    </row>
    <row r="196" spans="1:41" x14ac:dyDescent="0.25">
      <c r="A196" s="1" t="s">
        <v>19</v>
      </c>
      <c r="B196" s="1" t="s">
        <v>31</v>
      </c>
      <c r="C196" s="1" t="s">
        <v>21</v>
      </c>
      <c r="D196" s="1" t="s">
        <v>32</v>
      </c>
      <c r="E196" s="1" t="s">
        <v>96</v>
      </c>
      <c r="F196" s="1" t="s">
        <v>103</v>
      </c>
      <c r="G196" s="1" t="s">
        <v>98</v>
      </c>
      <c r="H196" s="1" t="s">
        <v>355</v>
      </c>
      <c r="I196" s="1" t="s">
        <v>105</v>
      </c>
      <c r="J196" s="1" t="s">
        <v>106</v>
      </c>
      <c r="L196" s="1">
        <v>1941094</v>
      </c>
      <c r="M196" s="1" t="s">
        <v>367</v>
      </c>
      <c r="N196" s="8">
        <f>DATE(2014,2,5)</f>
        <v>41675</v>
      </c>
      <c r="O196" s="8">
        <f>DATE(2018,12,20)</f>
        <v>43454</v>
      </c>
      <c r="P196" s="1">
        <v>4735</v>
      </c>
      <c r="Q196" s="1">
        <v>3600</v>
      </c>
      <c r="R196" s="1">
        <f t="shared" si="56"/>
        <v>3600</v>
      </c>
      <c r="S196" s="1">
        <v>2.5</v>
      </c>
      <c r="U196" s="1">
        <f t="shared" si="57"/>
        <v>1780</v>
      </c>
      <c r="V196" s="7">
        <f t="shared" si="58"/>
        <v>2.0224719101123596</v>
      </c>
      <c r="W196" s="7">
        <f t="shared" si="59"/>
        <v>738.20224719101122</v>
      </c>
      <c r="X196" s="7">
        <f t="shared" si="60"/>
        <v>0.922752808988764</v>
      </c>
      <c r="AA196" s="8">
        <f t="shared" si="61"/>
        <v>44927</v>
      </c>
      <c r="AB196" s="8">
        <f t="shared" si="62"/>
        <v>45291</v>
      </c>
      <c r="AC196" s="1">
        <v>1</v>
      </c>
      <c r="AD196" s="1">
        <f t="shared" si="63"/>
        <v>0</v>
      </c>
      <c r="AE196" s="1">
        <f t="shared" si="64"/>
        <v>0</v>
      </c>
      <c r="AF196" s="1">
        <f t="shared" si="65"/>
        <v>0</v>
      </c>
      <c r="AG196" s="1">
        <f t="shared" si="66"/>
        <v>0</v>
      </c>
      <c r="AH196" s="1">
        <f t="shared" si="67"/>
        <v>182.5</v>
      </c>
      <c r="AI196" s="5">
        <f t="shared" si="68"/>
        <v>0.5</v>
      </c>
      <c r="AJ196" s="5">
        <f t="shared" si="69"/>
        <v>0.461376404494382</v>
      </c>
      <c r="AK196" s="5">
        <f t="shared" si="70"/>
        <v>0</v>
      </c>
      <c r="AL196" s="5">
        <f t="shared" si="71"/>
        <v>0</v>
      </c>
      <c r="AM196" s="5">
        <f t="shared" si="72"/>
        <v>0</v>
      </c>
      <c r="AN196" s="5">
        <f t="shared" si="73"/>
        <v>0</v>
      </c>
      <c r="AO196" s="1" t="s">
        <v>102</v>
      </c>
    </row>
    <row r="197" spans="1:41" x14ac:dyDescent="0.25">
      <c r="A197" s="1" t="s">
        <v>19</v>
      </c>
      <c r="B197" s="1" t="s">
        <v>31</v>
      </c>
      <c r="C197" s="1" t="s">
        <v>21</v>
      </c>
      <c r="D197" s="1" t="s">
        <v>32</v>
      </c>
      <c r="E197" s="1" t="s">
        <v>96</v>
      </c>
      <c r="F197" s="1" t="s">
        <v>103</v>
      </c>
      <c r="G197" s="1" t="s">
        <v>127</v>
      </c>
      <c r="H197" s="1" t="s">
        <v>360</v>
      </c>
      <c r="I197" s="1" t="s">
        <v>255</v>
      </c>
      <c r="J197" s="1" t="s">
        <v>106</v>
      </c>
      <c r="L197" s="1">
        <v>1941114</v>
      </c>
      <c r="M197" s="1" t="s">
        <v>368</v>
      </c>
      <c r="N197" s="8">
        <f>DATE(2014,2,5)</f>
        <v>41675</v>
      </c>
      <c r="O197" s="8">
        <f>DATE(2016,12,20)</f>
        <v>42724</v>
      </c>
      <c r="P197" s="1">
        <v>2628</v>
      </c>
      <c r="Q197" s="1">
        <v>2400</v>
      </c>
      <c r="R197" s="1">
        <f t="shared" si="56"/>
        <v>2400</v>
      </c>
      <c r="S197" s="1">
        <v>2.5</v>
      </c>
      <c r="U197" s="1">
        <f t="shared" si="57"/>
        <v>1050</v>
      </c>
      <c r="V197" s="7">
        <f t="shared" si="58"/>
        <v>2.2857142857142856</v>
      </c>
      <c r="W197" s="7">
        <f t="shared" si="59"/>
        <v>834.28571428571422</v>
      </c>
      <c r="X197" s="7">
        <f t="shared" si="60"/>
        <v>1.0428571428571427</v>
      </c>
      <c r="AA197" s="8">
        <f t="shared" si="61"/>
        <v>44927</v>
      </c>
      <c r="AB197" s="8">
        <f t="shared" si="62"/>
        <v>45291</v>
      </c>
      <c r="AC197" s="1">
        <v>1</v>
      </c>
      <c r="AD197" s="1">
        <f t="shared" si="63"/>
        <v>0</v>
      </c>
      <c r="AE197" s="1">
        <f t="shared" si="64"/>
        <v>0</v>
      </c>
      <c r="AF197" s="1">
        <f t="shared" si="65"/>
        <v>0</v>
      </c>
      <c r="AG197" s="1">
        <f t="shared" si="66"/>
        <v>0</v>
      </c>
      <c r="AH197" s="1">
        <f t="shared" si="67"/>
        <v>182.5</v>
      </c>
      <c r="AI197" s="5">
        <f t="shared" si="68"/>
        <v>0.5</v>
      </c>
      <c r="AJ197" s="5">
        <f t="shared" si="69"/>
        <v>0.52142857142857135</v>
      </c>
      <c r="AK197" s="5">
        <f t="shared" si="70"/>
        <v>0</v>
      </c>
      <c r="AL197" s="5">
        <f t="shared" si="71"/>
        <v>0</v>
      </c>
      <c r="AM197" s="5">
        <f t="shared" si="72"/>
        <v>0</v>
      </c>
      <c r="AN197" s="5">
        <f t="shared" si="73"/>
        <v>0</v>
      </c>
      <c r="AO197" s="1" t="s">
        <v>102</v>
      </c>
    </row>
    <row r="198" spans="1:41" x14ac:dyDescent="0.25">
      <c r="A198" s="1" t="s">
        <v>19</v>
      </c>
      <c r="B198" s="1" t="s">
        <v>31</v>
      </c>
      <c r="C198" s="1" t="s">
        <v>21</v>
      </c>
      <c r="D198" s="1" t="s">
        <v>32</v>
      </c>
      <c r="E198" s="1" t="s">
        <v>96</v>
      </c>
      <c r="F198" s="1" t="s">
        <v>103</v>
      </c>
      <c r="G198" s="1" t="s">
        <v>320</v>
      </c>
      <c r="H198" s="1" t="s">
        <v>353</v>
      </c>
      <c r="I198" s="1" t="s">
        <v>174</v>
      </c>
      <c r="J198" s="1" t="s">
        <v>101</v>
      </c>
      <c r="L198" s="1">
        <v>1949828</v>
      </c>
      <c r="M198" s="1" t="s">
        <v>369</v>
      </c>
      <c r="N198" s="8">
        <f>DATE(2014,2,5)</f>
        <v>41675</v>
      </c>
      <c r="O198" s="8">
        <f>DATE(2017,12,22)</f>
        <v>43091</v>
      </c>
      <c r="P198" s="1">
        <v>3456</v>
      </c>
      <c r="Q198" s="1">
        <v>3200</v>
      </c>
      <c r="R198" s="1">
        <f t="shared" si="56"/>
        <v>3200</v>
      </c>
      <c r="S198" s="1">
        <v>2.5</v>
      </c>
      <c r="U198" s="1">
        <f t="shared" si="57"/>
        <v>1417</v>
      </c>
      <c r="V198" s="7">
        <f t="shared" si="58"/>
        <v>2.2582921665490474</v>
      </c>
      <c r="W198" s="7">
        <f t="shared" si="59"/>
        <v>824.27664079040233</v>
      </c>
      <c r="X198" s="7">
        <f t="shared" si="60"/>
        <v>1.0303458009880029</v>
      </c>
      <c r="AA198" s="8">
        <f t="shared" si="61"/>
        <v>44927</v>
      </c>
      <c r="AB198" s="8">
        <f t="shared" si="62"/>
        <v>45291</v>
      </c>
      <c r="AC198" s="1">
        <v>0</v>
      </c>
      <c r="AD198" s="1">
        <f t="shared" si="63"/>
        <v>0</v>
      </c>
      <c r="AE198" s="1">
        <f t="shared" si="64"/>
        <v>0</v>
      </c>
      <c r="AF198" s="1">
        <f t="shared" si="65"/>
        <v>0</v>
      </c>
      <c r="AG198" s="1">
        <f t="shared" si="66"/>
        <v>0</v>
      </c>
      <c r="AH198" s="1">
        <f t="shared" si="67"/>
        <v>182.5</v>
      </c>
      <c r="AI198" s="5">
        <f t="shared" si="68"/>
        <v>0.5</v>
      </c>
      <c r="AJ198" s="5">
        <f t="shared" si="69"/>
        <v>0.51517290049400144</v>
      </c>
      <c r="AK198" s="5">
        <f t="shared" si="70"/>
        <v>0</v>
      </c>
      <c r="AL198" s="5">
        <f t="shared" si="71"/>
        <v>0</v>
      </c>
      <c r="AM198" s="5">
        <f t="shared" si="72"/>
        <v>0</v>
      </c>
      <c r="AN198" s="5">
        <f t="shared" si="73"/>
        <v>0</v>
      </c>
      <c r="AO198" s="1" t="s">
        <v>102</v>
      </c>
    </row>
    <row r="199" spans="1:41" x14ac:dyDescent="0.25">
      <c r="A199" s="1" t="s">
        <v>19</v>
      </c>
      <c r="B199" s="1" t="s">
        <v>31</v>
      </c>
      <c r="C199" s="1" t="s">
        <v>21</v>
      </c>
      <c r="D199" s="1" t="s">
        <v>32</v>
      </c>
      <c r="E199" s="1" t="s">
        <v>96</v>
      </c>
      <c r="F199" s="1" t="s">
        <v>103</v>
      </c>
      <c r="G199" s="1" t="s">
        <v>127</v>
      </c>
      <c r="H199" s="1" t="s">
        <v>370</v>
      </c>
      <c r="I199" s="1" t="s">
        <v>100</v>
      </c>
      <c r="J199" s="1" t="s">
        <v>101</v>
      </c>
      <c r="L199" s="1">
        <v>1961609</v>
      </c>
      <c r="M199" s="1" t="s">
        <v>371</v>
      </c>
      <c r="N199" s="8">
        <f>DATE(2014,8,15)</f>
        <v>41866</v>
      </c>
      <c r="O199" s="8">
        <f>DATE(2016,12,30)</f>
        <v>42734</v>
      </c>
      <c r="P199" s="1">
        <v>1802</v>
      </c>
      <c r="Q199" s="1">
        <v>1600</v>
      </c>
      <c r="R199" s="1">
        <f t="shared" si="56"/>
        <v>1600</v>
      </c>
      <c r="S199" s="1">
        <v>1</v>
      </c>
      <c r="U199" s="1">
        <f t="shared" si="57"/>
        <v>869</v>
      </c>
      <c r="V199" s="7">
        <f t="shared" si="58"/>
        <v>1.8411967779056386</v>
      </c>
      <c r="W199" s="7">
        <f t="shared" si="59"/>
        <v>672.03682393555812</v>
      </c>
      <c r="X199" s="7">
        <f t="shared" si="60"/>
        <v>0.84004602991944766</v>
      </c>
      <c r="AA199" s="8">
        <f t="shared" si="61"/>
        <v>44927</v>
      </c>
      <c r="AB199" s="8">
        <f t="shared" si="62"/>
        <v>45291</v>
      </c>
      <c r="AC199" s="1">
        <v>1</v>
      </c>
      <c r="AD199" s="1">
        <f t="shared" si="63"/>
        <v>0</v>
      </c>
      <c r="AE199" s="1">
        <f t="shared" si="64"/>
        <v>0</v>
      </c>
      <c r="AF199" s="1">
        <f t="shared" si="65"/>
        <v>0</v>
      </c>
      <c r="AG199" s="1">
        <f t="shared" si="66"/>
        <v>0</v>
      </c>
      <c r="AH199" s="1">
        <f t="shared" si="67"/>
        <v>182.5</v>
      </c>
      <c r="AI199" s="5">
        <f t="shared" si="68"/>
        <v>0.5</v>
      </c>
      <c r="AJ199" s="5">
        <f t="shared" si="69"/>
        <v>0.42002301495972383</v>
      </c>
      <c r="AK199" s="5">
        <f t="shared" si="70"/>
        <v>0</v>
      </c>
      <c r="AL199" s="5">
        <f t="shared" si="71"/>
        <v>0</v>
      </c>
      <c r="AM199" s="5">
        <f t="shared" si="72"/>
        <v>0</v>
      </c>
      <c r="AN199" s="5">
        <f t="shared" si="73"/>
        <v>0</v>
      </c>
      <c r="AO199" s="1" t="s">
        <v>102</v>
      </c>
    </row>
    <row r="200" spans="1:41" x14ac:dyDescent="0.25">
      <c r="A200" s="1" t="s">
        <v>19</v>
      </c>
      <c r="B200" s="1" t="s">
        <v>31</v>
      </c>
      <c r="C200" s="1" t="s">
        <v>21</v>
      </c>
      <c r="D200" s="1" t="s">
        <v>32</v>
      </c>
      <c r="E200" s="1" t="s">
        <v>96</v>
      </c>
      <c r="F200" s="1" t="s">
        <v>103</v>
      </c>
      <c r="G200" s="1" t="s">
        <v>98</v>
      </c>
      <c r="H200" s="1" t="s">
        <v>355</v>
      </c>
      <c r="I200" s="1" t="s">
        <v>105</v>
      </c>
      <c r="J200" s="1" t="s">
        <v>106</v>
      </c>
      <c r="L200" s="1">
        <v>1956689</v>
      </c>
      <c r="M200" s="1" t="s">
        <v>372</v>
      </c>
      <c r="N200" s="8">
        <f>DATE(2014,9,1)</f>
        <v>41883</v>
      </c>
      <c r="O200" s="8">
        <f>DATE(2019,9,1)</f>
        <v>43709</v>
      </c>
      <c r="P200" s="1">
        <v>4735</v>
      </c>
      <c r="Q200" s="1">
        <v>3600</v>
      </c>
      <c r="R200" s="1">
        <f t="shared" si="56"/>
        <v>3600</v>
      </c>
      <c r="S200" s="1">
        <v>2.5</v>
      </c>
      <c r="U200" s="1">
        <f t="shared" si="57"/>
        <v>1827</v>
      </c>
      <c r="V200" s="7">
        <f t="shared" si="58"/>
        <v>1.9704433497536946</v>
      </c>
      <c r="W200" s="7">
        <f t="shared" si="59"/>
        <v>719.21182266009851</v>
      </c>
      <c r="X200" s="7">
        <f t="shared" si="60"/>
        <v>0.89901477832512311</v>
      </c>
      <c r="AA200" s="8">
        <f t="shared" si="61"/>
        <v>44927</v>
      </c>
      <c r="AB200" s="8">
        <f t="shared" si="62"/>
        <v>45291</v>
      </c>
      <c r="AC200" s="1">
        <v>1</v>
      </c>
      <c r="AD200" s="1">
        <f t="shared" si="63"/>
        <v>0</v>
      </c>
      <c r="AE200" s="1">
        <f t="shared" si="64"/>
        <v>0</v>
      </c>
      <c r="AF200" s="1">
        <f t="shared" si="65"/>
        <v>0</v>
      </c>
      <c r="AG200" s="1">
        <f t="shared" si="66"/>
        <v>0</v>
      </c>
      <c r="AH200" s="1">
        <f t="shared" si="67"/>
        <v>182.5</v>
      </c>
      <c r="AI200" s="5">
        <f t="shared" si="68"/>
        <v>0.5</v>
      </c>
      <c r="AJ200" s="5">
        <f t="shared" si="69"/>
        <v>0.44950738916256155</v>
      </c>
      <c r="AK200" s="5">
        <f t="shared" si="70"/>
        <v>0</v>
      </c>
      <c r="AL200" s="5">
        <f t="shared" si="71"/>
        <v>0</v>
      </c>
      <c r="AM200" s="5">
        <f t="shared" si="72"/>
        <v>0</v>
      </c>
      <c r="AN200" s="5">
        <f t="shared" si="73"/>
        <v>0</v>
      </c>
      <c r="AO200" s="1" t="s">
        <v>102</v>
      </c>
    </row>
    <row r="201" spans="1:41" x14ac:dyDescent="0.25">
      <c r="A201" s="1" t="s">
        <v>19</v>
      </c>
      <c r="B201" s="1" t="s">
        <v>31</v>
      </c>
      <c r="C201" s="1" t="s">
        <v>21</v>
      </c>
      <c r="D201" s="1" t="s">
        <v>32</v>
      </c>
      <c r="E201" s="1" t="s">
        <v>96</v>
      </c>
      <c r="F201" s="1" t="s">
        <v>103</v>
      </c>
      <c r="G201" s="1" t="s">
        <v>98</v>
      </c>
      <c r="H201" s="1" t="s">
        <v>355</v>
      </c>
      <c r="I201" s="1" t="s">
        <v>105</v>
      </c>
      <c r="J201" s="1" t="s">
        <v>106</v>
      </c>
      <c r="L201" s="1">
        <v>1978481</v>
      </c>
      <c r="M201" s="1" t="s">
        <v>373</v>
      </c>
      <c r="N201" s="8">
        <f>DATE(2015,2,20)</f>
        <v>42055</v>
      </c>
      <c r="O201" s="8">
        <f>DATE(2019,12,20)</f>
        <v>43819</v>
      </c>
      <c r="P201" s="1">
        <v>4535</v>
      </c>
      <c r="Q201" s="1">
        <v>3600</v>
      </c>
      <c r="R201" s="1">
        <f t="shared" si="56"/>
        <v>3600</v>
      </c>
      <c r="S201" s="1">
        <v>2.5</v>
      </c>
      <c r="U201" s="1">
        <f t="shared" si="57"/>
        <v>1765</v>
      </c>
      <c r="V201" s="7">
        <f t="shared" si="58"/>
        <v>2.0396600566572238</v>
      </c>
      <c r="W201" s="7">
        <f t="shared" si="59"/>
        <v>744.47592067988671</v>
      </c>
      <c r="X201" s="7">
        <f t="shared" si="60"/>
        <v>0.93059490084985841</v>
      </c>
      <c r="AA201" s="8">
        <f t="shared" si="61"/>
        <v>44927</v>
      </c>
      <c r="AB201" s="8">
        <f t="shared" si="62"/>
        <v>45291</v>
      </c>
      <c r="AC201" s="1">
        <v>1</v>
      </c>
      <c r="AD201" s="1">
        <f t="shared" si="63"/>
        <v>0</v>
      </c>
      <c r="AE201" s="1">
        <f t="shared" si="64"/>
        <v>0</v>
      </c>
      <c r="AF201" s="1">
        <f t="shared" si="65"/>
        <v>0</v>
      </c>
      <c r="AG201" s="1">
        <f t="shared" si="66"/>
        <v>0</v>
      </c>
      <c r="AH201" s="1">
        <f t="shared" si="67"/>
        <v>182.5</v>
      </c>
      <c r="AI201" s="5">
        <f t="shared" si="68"/>
        <v>0.5</v>
      </c>
      <c r="AJ201" s="5">
        <f t="shared" si="69"/>
        <v>0.4652974504249292</v>
      </c>
      <c r="AK201" s="5">
        <f t="shared" si="70"/>
        <v>0</v>
      </c>
      <c r="AL201" s="5">
        <f t="shared" si="71"/>
        <v>0</v>
      </c>
      <c r="AM201" s="5">
        <f t="shared" si="72"/>
        <v>0</v>
      </c>
      <c r="AN201" s="5">
        <f t="shared" si="73"/>
        <v>0</v>
      </c>
      <c r="AO201" s="1" t="s">
        <v>102</v>
      </c>
    </row>
    <row r="202" spans="1:41" x14ac:dyDescent="0.25">
      <c r="A202" s="1" t="s">
        <v>19</v>
      </c>
      <c r="B202" s="1" t="s">
        <v>31</v>
      </c>
      <c r="C202" s="1" t="s">
        <v>21</v>
      </c>
      <c r="D202" s="1" t="s">
        <v>32</v>
      </c>
      <c r="E202" s="1" t="s">
        <v>96</v>
      </c>
      <c r="F202" s="1" t="s">
        <v>103</v>
      </c>
      <c r="G202" s="1" t="s">
        <v>320</v>
      </c>
      <c r="H202" s="1" t="s">
        <v>353</v>
      </c>
      <c r="I202" s="1" t="s">
        <v>174</v>
      </c>
      <c r="J202" s="1" t="s">
        <v>101</v>
      </c>
      <c r="L202" s="1">
        <v>1978491</v>
      </c>
      <c r="M202" s="1" t="s">
        <v>374</v>
      </c>
      <c r="N202" s="8">
        <f>DATE(2015,2,20)</f>
        <v>42055</v>
      </c>
      <c r="O202" s="8">
        <f>DATE(2018,12,20)</f>
        <v>43454</v>
      </c>
      <c r="P202" s="1">
        <v>3456</v>
      </c>
      <c r="Q202" s="1">
        <v>3200</v>
      </c>
      <c r="R202" s="1">
        <f t="shared" si="56"/>
        <v>3200</v>
      </c>
      <c r="S202" s="1">
        <v>2.5</v>
      </c>
      <c r="U202" s="1">
        <f t="shared" si="57"/>
        <v>1400</v>
      </c>
      <c r="V202" s="7">
        <f t="shared" si="58"/>
        <v>2.2857142857142856</v>
      </c>
      <c r="W202" s="7">
        <f t="shared" si="59"/>
        <v>834.28571428571422</v>
      </c>
      <c r="X202" s="7">
        <f t="shared" si="60"/>
        <v>1.0428571428571427</v>
      </c>
      <c r="AA202" s="8">
        <f t="shared" si="61"/>
        <v>44927</v>
      </c>
      <c r="AB202" s="8">
        <f t="shared" si="62"/>
        <v>45291</v>
      </c>
      <c r="AC202" s="1">
        <v>2</v>
      </c>
      <c r="AD202" s="1">
        <f t="shared" si="63"/>
        <v>0</v>
      </c>
      <c r="AE202" s="1">
        <f t="shared" si="64"/>
        <v>0</v>
      </c>
      <c r="AF202" s="1">
        <f t="shared" si="65"/>
        <v>0</v>
      </c>
      <c r="AG202" s="1">
        <f t="shared" si="66"/>
        <v>0</v>
      </c>
      <c r="AH202" s="1">
        <f t="shared" si="67"/>
        <v>182.5</v>
      </c>
      <c r="AI202" s="5">
        <f t="shared" si="68"/>
        <v>0.5</v>
      </c>
      <c r="AJ202" s="5">
        <f t="shared" si="69"/>
        <v>0.52142857142857135</v>
      </c>
      <c r="AK202" s="5">
        <f t="shared" si="70"/>
        <v>0</v>
      </c>
      <c r="AL202" s="5">
        <f t="shared" si="71"/>
        <v>0</v>
      </c>
      <c r="AM202" s="5">
        <f t="shared" si="72"/>
        <v>0</v>
      </c>
      <c r="AN202" s="5">
        <f t="shared" si="73"/>
        <v>0</v>
      </c>
      <c r="AO202" s="1" t="s">
        <v>102</v>
      </c>
    </row>
    <row r="203" spans="1:41" x14ac:dyDescent="0.25">
      <c r="A203" s="1" t="s">
        <v>19</v>
      </c>
      <c r="B203" s="1" t="s">
        <v>31</v>
      </c>
      <c r="C203" s="1" t="s">
        <v>21</v>
      </c>
      <c r="D203" s="1" t="s">
        <v>32</v>
      </c>
      <c r="E203" s="1" t="s">
        <v>96</v>
      </c>
      <c r="F203" s="1" t="s">
        <v>103</v>
      </c>
      <c r="G203" s="1" t="s">
        <v>127</v>
      </c>
      <c r="H203" s="1" t="s">
        <v>360</v>
      </c>
      <c r="I203" s="1" t="s">
        <v>255</v>
      </c>
      <c r="J203" s="1" t="s">
        <v>106</v>
      </c>
      <c r="L203" s="1">
        <v>1978494</v>
      </c>
      <c r="M203" s="1" t="s">
        <v>375</v>
      </c>
      <c r="N203" s="8">
        <f>DATE(2015,2,20)</f>
        <v>42055</v>
      </c>
      <c r="O203" s="8">
        <f>DATE(2017,12,21)</f>
        <v>43090</v>
      </c>
      <c r="P203" s="1">
        <v>2628</v>
      </c>
      <c r="Q203" s="1">
        <v>2400</v>
      </c>
      <c r="R203" s="1">
        <f t="shared" si="56"/>
        <v>2400</v>
      </c>
      <c r="S203" s="1">
        <v>2.5</v>
      </c>
      <c r="U203" s="1">
        <f t="shared" si="57"/>
        <v>1036</v>
      </c>
      <c r="V203" s="7">
        <f t="shared" si="58"/>
        <v>2.3166023166023164</v>
      </c>
      <c r="W203" s="7">
        <f t="shared" si="59"/>
        <v>845.55984555984548</v>
      </c>
      <c r="X203" s="7">
        <f t="shared" si="60"/>
        <v>1.0569498069498069</v>
      </c>
      <c r="AA203" s="8">
        <f t="shared" si="61"/>
        <v>44927</v>
      </c>
      <c r="AB203" s="8">
        <f t="shared" si="62"/>
        <v>45291</v>
      </c>
      <c r="AC203" s="1">
        <v>6</v>
      </c>
      <c r="AD203" s="1">
        <f t="shared" si="63"/>
        <v>0</v>
      </c>
      <c r="AE203" s="1">
        <f t="shared" si="64"/>
        <v>0</v>
      </c>
      <c r="AF203" s="1">
        <f t="shared" si="65"/>
        <v>0</v>
      </c>
      <c r="AG203" s="1">
        <f t="shared" si="66"/>
        <v>0</v>
      </c>
      <c r="AH203" s="1">
        <f t="shared" si="67"/>
        <v>182.5</v>
      </c>
      <c r="AI203" s="5">
        <f t="shared" si="68"/>
        <v>0.5</v>
      </c>
      <c r="AJ203" s="5">
        <f t="shared" si="69"/>
        <v>0.52847490347490345</v>
      </c>
      <c r="AK203" s="5">
        <f t="shared" si="70"/>
        <v>0</v>
      </c>
      <c r="AL203" s="5">
        <f t="shared" si="71"/>
        <v>0</v>
      </c>
      <c r="AM203" s="5">
        <f t="shared" si="72"/>
        <v>0</v>
      </c>
      <c r="AN203" s="5">
        <f t="shared" si="73"/>
        <v>0</v>
      </c>
      <c r="AO203" s="1" t="s">
        <v>102</v>
      </c>
    </row>
    <row r="204" spans="1:41" x14ac:dyDescent="0.25">
      <c r="A204" s="1" t="s">
        <v>19</v>
      </c>
      <c r="B204" s="1" t="s">
        <v>31</v>
      </c>
      <c r="C204" s="1" t="s">
        <v>21</v>
      </c>
      <c r="D204" s="1" t="s">
        <v>32</v>
      </c>
      <c r="E204" s="1" t="s">
        <v>96</v>
      </c>
      <c r="F204" s="1" t="s">
        <v>103</v>
      </c>
      <c r="G204" s="1" t="s">
        <v>98</v>
      </c>
      <c r="H204" s="1" t="s">
        <v>355</v>
      </c>
      <c r="I204" s="1" t="s">
        <v>105</v>
      </c>
      <c r="J204" s="1" t="s">
        <v>106</v>
      </c>
      <c r="L204" s="1">
        <v>2024893</v>
      </c>
      <c r="M204" s="1" t="s">
        <v>376</v>
      </c>
      <c r="N204" s="8">
        <f>DATE(2015,10,21)</f>
        <v>42298</v>
      </c>
      <c r="O204" s="8">
        <f>DATE(2020,7,30)</f>
        <v>44042</v>
      </c>
      <c r="P204" s="1">
        <v>4735</v>
      </c>
      <c r="Q204" s="1">
        <v>3600</v>
      </c>
      <c r="R204" s="1">
        <f t="shared" si="56"/>
        <v>3600</v>
      </c>
      <c r="S204" s="1">
        <v>2.5</v>
      </c>
      <c r="U204" s="1">
        <f t="shared" si="57"/>
        <v>1745</v>
      </c>
      <c r="V204" s="7">
        <f t="shared" si="58"/>
        <v>2.0630372492836675</v>
      </c>
      <c r="W204" s="7">
        <f t="shared" si="59"/>
        <v>753.00859598853867</v>
      </c>
      <c r="X204" s="7">
        <f t="shared" si="60"/>
        <v>0.94126074498567336</v>
      </c>
      <c r="AA204" s="8">
        <f t="shared" si="61"/>
        <v>44927</v>
      </c>
      <c r="AB204" s="8">
        <f t="shared" si="62"/>
        <v>45291</v>
      </c>
      <c r="AC204" s="1">
        <v>14</v>
      </c>
      <c r="AD204" s="1">
        <f t="shared" si="63"/>
        <v>0</v>
      </c>
      <c r="AE204" s="1">
        <f t="shared" si="64"/>
        <v>0</v>
      </c>
      <c r="AF204" s="1">
        <f t="shared" si="65"/>
        <v>0</v>
      </c>
      <c r="AG204" s="1">
        <f t="shared" si="66"/>
        <v>0</v>
      </c>
      <c r="AH204" s="1">
        <f t="shared" si="67"/>
        <v>182.5</v>
      </c>
      <c r="AI204" s="5">
        <f t="shared" si="68"/>
        <v>0.5</v>
      </c>
      <c r="AJ204" s="5">
        <f t="shared" si="69"/>
        <v>0.47063037249283668</v>
      </c>
      <c r="AK204" s="5">
        <f t="shared" si="70"/>
        <v>3.294412607449857</v>
      </c>
      <c r="AL204" s="5">
        <f t="shared" si="71"/>
        <v>8.2360315186246424</v>
      </c>
      <c r="AM204" s="5">
        <f t="shared" si="72"/>
        <v>4.1180157593123212</v>
      </c>
      <c r="AN204" s="5">
        <f t="shared" si="73"/>
        <v>12.354047277936964</v>
      </c>
      <c r="AO204" s="1" t="s">
        <v>102</v>
      </c>
    </row>
    <row r="205" spans="1:41" x14ac:dyDescent="0.25">
      <c r="A205" s="1" t="s">
        <v>19</v>
      </c>
      <c r="B205" s="1" t="s">
        <v>31</v>
      </c>
      <c r="C205" s="1" t="s">
        <v>21</v>
      </c>
      <c r="D205" s="1" t="s">
        <v>32</v>
      </c>
      <c r="E205" s="1" t="s">
        <v>96</v>
      </c>
      <c r="F205" s="1" t="s">
        <v>103</v>
      </c>
      <c r="G205" s="1" t="s">
        <v>127</v>
      </c>
      <c r="H205" s="1" t="s">
        <v>370</v>
      </c>
      <c r="I205" s="1" t="s">
        <v>100</v>
      </c>
      <c r="J205" s="1" t="s">
        <v>101</v>
      </c>
      <c r="L205" s="1">
        <v>2024898</v>
      </c>
      <c r="M205" s="1" t="s">
        <v>377</v>
      </c>
      <c r="N205" s="8">
        <f>DATE(2015,10,21)</f>
        <v>42298</v>
      </c>
      <c r="O205" s="8">
        <f>DATE(2017,12,23)</f>
        <v>43092</v>
      </c>
      <c r="P205" s="1">
        <v>1980</v>
      </c>
      <c r="Q205" s="1">
        <v>1600</v>
      </c>
      <c r="R205" s="1">
        <f t="shared" si="56"/>
        <v>1600</v>
      </c>
      <c r="S205" s="1">
        <v>1</v>
      </c>
      <c r="U205" s="1">
        <f t="shared" si="57"/>
        <v>795</v>
      </c>
      <c r="V205" s="7">
        <f t="shared" si="58"/>
        <v>2.0125786163522013</v>
      </c>
      <c r="W205" s="7">
        <f t="shared" si="59"/>
        <v>734.59119496855351</v>
      </c>
      <c r="X205" s="7">
        <f t="shared" si="60"/>
        <v>0.91823899371069184</v>
      </c>
      <c r="AA205" s="8">
        <f t="shared" si="61"/>
        <v>44927</v>
      </c>
      <c r="AB205" s="8">
        <f t="shared" si="62"/>
        <v>45291</v>
      </c>
      <c r="AC205" s="1">
        <v>1</v>
      </c>
      <c r="AD205" s="1">
        <f t="shared" si="63"/>
        <v>0</v>
      </c>
      <c r="AE205" s="1">
        <f t="shared" si="64"/>
        <v>0</v>
      </c>
      <c r="AF205" s="1">
        <f t="shared" si="65"/>
        <v>0</v>
      </c>
      <c r="AG205" s="1">
        <f t="shared" si="66"/>
        <v>0</v>
      </c>
      <c r="AH205" s="1">
        <f t="shared" si="67"/>
        <v>182.5</v>
      </c>
      <c r="AI205" s="5">
        <f t="shared" si="68"/>
        <v>0.5</v>
      </c>
      <c r="AJ205" s="5">
        <f t="shared" si="69"/>
        <v>0.45911949685534592</v>
      </c>
      <c r="AK205" s="5">
        <f t="shared" si="70"/>
        <v>0</v>
      </c>
      <c r="AL205" s="5">
        <f t="shared" si="71"/>
        <v>0</v>
      </c>
      <c r="AM205" s="5">
        <f t="shared" si="72"/>
        <v>0</v>
      </c>
      <c r="AN205" s="5">
        <f t="shared" si="73"/>
        <v>0</v>
      </c>
      <c r="AO205" s="1" t="s">
        <v>102</v>
      </c>
    </row>
    <row r="206" spans="1:41" x14ac:dyDescent="0.25">
      <c r="A206" s="1" t="s">
        <v>19</v>
      </c>
      <c r="B206" s="1" t="s">
        <v>31</v>
      </c>
      <c r="C206" s="1" t="s">
        <v>21</v>
      </c>
      <c r="D206" s="1" t="s">
        <v>32</v>
      </c>
      <c r="E206" s="1" t="s">
        <v>96</v>
      </c>
      <c r="F206" s="1" t="s">
        <v>103</v>
      </c>
      <c r="G206" s="1" t="s">
        <v>98</v>
      </c>
      <c r="H206" s="1" t="s">
        <v>355</v>
      </c>
      <c r="I206" s="1" t="s">
        <v>105</v>
      </c>
      <c r="J206" s="1" t="s">
        <v>106</v>
      </c>
      <c r="L206" s="1">
        <v>2022667</v>
      </c>
      <c r="M206" s="1" t="s">
        <v>378</v>
      </c>
      <c r="N206" s="8">
        <f>DATE(2016,4,11)</f>
        <v>42471</v>
      </c>
      <c r="O206" s="8">
        <f>DATE(2020,12,23)</f>
        <v>44188</v>
      </c>
      <c r="P206" s="1">
        <v>4607</v>
      </c>
      <c r="Q206" s="1">
        <v>3600</v>
      </c>
      <c r="R206" s="1">
        <f t="shared" si="56"/>
        <v>3600</v>
      </c>
      <c r="S206" s="1">
        <v>2.5</v>
      </c>
      <c r="U206" s="1">
        <f t="shared" si="57"/>
        <v>1718</v>
      </c>
      <c r="V206" s="7">
        <f t="shared" si="58"/>
        <v>2.0954598370197903</v>
      </c>
      <c r="W206" s="7">
        <f t="shared" si="59"/>
        <v>764.84284051222346</v>
      </c>
      <c r="X206" s="7">
        <f t="shared" si="60"/>
        <v>0.9560535506402793</v>
      </c>
      <c r="AA206" s="8">
        <f t="shared" si="61"/>
        <v>44927</v>
      </c>
      <c r="AB206" s="8">
        <f t="shared" si="62"/>
        <v>45291</v>
      </c>
      <c r="AC206" s="1">
        <v>8</v>
      </c>
      <c r="AD206" s="1">
        <f t="shared" si="63"/>
        <v>0</v>
      </c>
      <c r="AE206" s="1">
        <f t="shared" si="64"/>
        <v>0</v>
      </c>
      <c r="AF206" s="1">
        <f t="shared" si="65"/>
        <v>0</v>
      </c>
      <c r="AG206" s="1">
        <f t="shared" si="66"/>
        <v>0</v>
      </c>
      <c r="AH206" s="1">
        <f t="shared" si="67"/>
        <v>182.5</v>
      </c>
      <c r="AI206" s="5">
        <f t="shared" si="68"/>
        <v>0.5</v>
      </c>
      <c r="AJ206" s="5">
        <f t="shared" si="69"/>
        <v>0.47802677532013965</v>
      </c>
      <c r="AK206" s="5">
        <f t="shared" si="70"/>
        <v>1.9121071012805586</v>
      </c>
      <c r="AL206" s="5">
        <f t="shared" si="71"/>
        <v>4.7802677532013966</v>
      </c>
      <c r="AM206" s="5">
        <f t="shared" si="72"/>
        <v>2.3901338766006983</v>
      </c>
      <c r="AN206" s="5">
        <f t="shared" si="73"/>
        <v>7.1704016298020949</v>
      </c>
      <c r="AO206" s="1" t="s">
        <v>102</v>
      </c>
    </row>
    <row r="207" spans="1:41" x14ac:dyDescent="0.25">
      <c r="A207" s="1" t="s">
        <v>19</v>
      </c>
      <c r="B207" s="1" t="s">
        <v>31</v>
      </c>
      <c r="C207" s="1" t="s">
        <v>21</v>
      </c>
      <c r="D207" s="1" t="s">
        <v>32</v>
      </c>
      <c r="E207" s="1" t="s">
        <v>96</v>
      </c>
      <c r="F207" s="1" t="s">
        <v>103</v>
      </c>
      <c r="G207" s="1" t="s">
        <v>320</v>
      </c>
      <c r="H207" s="1" t="s">
        <v>353</v>
      </c>
      <c r="I207" s="1" t="s">
        <v>174</v>
      </c>
      <c r="J207" s="1" t="s">
        <v>101</v>
      </c>
      <c r="L207" s="1">
        <v>2022722</v>
      </c>
      <c r="M207" s="1" t="s">
        <v>379</v>
      </c>
      <c r="N207" s="8">
        <f>DATE(2016,4,11)</f>
        <v>42471</v>
      </c>
      <c r="O207" s="8">
        <f>DATE(2019,12,23)</f>
        <v>43822</v>
      </c>
      <c r="P207" s="1">
        <v>3456</v>
      </c>
      <c r="Q207" s="1">
        <v>3200</v>
      </c>
      <c r="R207" s="1">
        <f t="shared" si="56"/>
        <v>3200</v>
      </c>
      <c r="S207" s="1">
        <v>2.5</v>
      </c>
      <c r="U207" s="1">
        <f t="shared" si="57"/>
        <v>1352</v>
      </c>
      <c r="V207" s="7">
        <f t="shared" si="58"/>
        <v>2.3668639053254439</v>
      </c>
      <c r="W207" s="7">
        <f t="shared" si="59"/>
        <v>863.90532544378698</v>
      </c>
      <c r="X207" s="7">
        <f t="shared" si="60"/>
        <v>1.0798816568047338</v>
      </c>
      <c r="AA207" s="8">
        <f t="shared" si="61"/>
        <v>44927</v>
      </c>
      <c r="AB207" s="8">
        <f t="shared" si="62"/>
        <v>45291</v>
      </c>
      <c r="AC207" s="1">
        <v>1</v>
      </c>
      <c r="AD207" s="1">
        <f t="shared" si="63"/>
        <v>0</v>
      </c>
      <c r="AE207" s="1">
        <f t="shared" si="64"/>
        <v>0</v>
      </c>
      <c r="AF207" s="1">
        <f t="shared" si="65"/>
        <v>0</v>
      </c>
      <c r="AG207" s="1">
        <f t="shared" si="66"/>
        <v>0</v>
      </c>
      <c r="AH207" s="1">
        <f t="shared" si="67"/>
        <v>182.5</v>
      </c>
      <c r="AI207" s="5">
        <f t="shared" si="68"/>
        <v>0.5</v>
      </c>
      <c r="AJ207" s="5">
        <f t="shared" si="69"/>
        <v>0.5399408284023669</v>
      </c>
      <c r="AK207" s="5">
        <f t="shared" si="70"/>
        <v>0</v>
      </c>
      <c r="AL207" s="5">
        <f t="shared" si="71"/>
        <v>0</v>
      </c>
      <c r="AM207" s="5">
        <f t="shared" si="72"/>
        <v>0</v>
      </c>
      <c r="AN207" s="5">
        <f t="shared" si="73"/>
        <v>0</v>
      </c>
      <c r="AO207" s="1" t="s">
        <v>102</v>
      </c>
    </row>
    <row r="208" spans="1:41" x14ac:dyDescent="0.25">
      <c r="A208" s="1" t="s">
        <v>19</v>
      </c>
      <c r="B208" s="1" t="s">
        <v>31</v>
      </c>
      <c r="C208" s="1" t="s">
        <v>21</v>
      </c>
      <c r="D208" s="1" t="s">
        <v>32</v>
      </c>
      <c r="E208" s="1" t="s">
        <v>96</v>
      </c>
      <c r="F208" s="1" t="s">
        <v>103</v>
      </c>
      <c r="G208" s="1" t="s">
        <v>127</v>
      </c>
      <c r="H208" s="1" t="s">
        <v>360</v>
      </c>
      <c r="I208" s="1" t="s">
        <v>255</v>
      </c>
      <c r="J208" s="1" t="s">
        <v>106</v>
      </c>
      <c r="L208" s="1">
        <v>2022724</v>
      </c>
      <c r="M208" s="1" t="s">
        <v>380</v>
      </c>
      <c r="N208" s="8">
        <f>DATE(2016,4,11)</f>
        <v>42471</v>
      </c>
      <c r="O208" s="8">
        <f>DATE(2018,12,23)</f>
        <v>43457</v>
      </c>
      <c r="P208" s="1">
        <v>2628</v>
      </c>
      <c r="Q208" s="1">
        <v>2400</v>
      </c>
      <c r="R208" s="1">
        <f t="shared" si="56"/>
        <v>2400</v>
      </c>
      <c r="S208" s="1">
        <v>2.5</v>
      </c>
      <c r="U208" s="1">
        <f t="shared" si="57"/>
        <v>987</v>
      </c>
      <c r="V208" s="7">
        <f t="shared" si="58"/>
        <v>2.43161094224924</v>
      </c>
      <c r="W208" s="7">
        <f t="shared" si="59"/>
        <v>887.53799392097255</v>
      </c>
      <c r="X208" s="7">
        <f t="shared" si="60"/>
        <v>1.1094224924012157</v>
      </c>
      <c r="AA208" s="8">
        <f t="shared" si="61"/>
        <v>44927</v>
      </c>
      <c r="AB208" s="8">
        <f t="shared" si="62"/>
        <v>45291</v>
      </c>
      <c r="AC208" s="1">
        <v>4</v>
      </c>
      <c r="AD208" s="1">
        <f t="shared" si="63"/>
        <v>0</v>
      </c>
      <c r="AE208" s="1">
        <f t="shared" si="64"/>
        <v>0</v>
      </c>
      <c r="AF208" s="1">
        <f t="shared" si="65"/>
        <v>0</v>
      </c>
      <c r="AG208" s="1">
        <f t="shared" si="66"/>
        <v>0</v>
      </c>
      <c r="AH208" s="1">
        <f t="shared" si="67"/>
        <v>182.5</v>
      </c>
      <c r="AI208" s="5">
        <f t="shared" si="68"/>
        <v>0.5</v>
      </c>
      <c r="AJ208" s="5">
        <f t="shared" si="69"/>
        <v>0.55471124620060785</v>
      </c>
      <c r="AK208" s="5">
        <f t="shared" si="70"/>
        <v>0</v>
      </c>
      <c r="AL208" s="5">
        <f t="shared" si="71"/>
        <v>0</v>
      </c>
      <c r="AM208" s="5">
        <f t="shared" si="72"/>
        <v>0</v>
      </c>
      <c r="AN208" s="5">
        <f t="shared" si="73"/>
        <v>0</v>
      </c>
      <c r="AO208" s="1" t="s">
        <v>102</v>
      </c>
    </row>
    <row r="209" spans="1:41" x14ac:dyDescent="0.25">
      <c r="A209" s="1" t="s">
        <v>19</v>
      </c>
      <c r="B209" s="1" t="s">
        <v>31</v>
      </c>
      <c r="C209" s="1" t="s">
        <v>21</v>
      </c>
      <c r="D209" s="1" t="s">
        <v>32</v>
      </c>
      <c r="E209" s="1" t="s">
        <v>96</v>
      </c>
      <c r="F209" s="1" t="s">
        <v>103</v>
      </c>
      <c r="G209" s="1" t="s">
        <v>114</v>
      </c>
      <c r="H209" s="1" t="s">
        <v>249</v>
      </c>
      <c r="I209" s="1" t="s">
        <v>162</v>
      </c>
      <c r="J209" s="1" t="s">
        <v>101</v>
      </c>
      <c r="K209" s="1" t="s">
        <v>116</v>
      </c>
      <c r="L209" s="1">
        <v>2025565</v>
      </c>
      <c r="M209" s="1" t="s">
        <v>381</v>
      </c>
      <c r="N209" s="8">
        <f>DATE(2016,4,11)</f>
        <v>42471</v>
      </c>
      <c r="O209" s="8">
        <f>DATE(2018,12,22)</f>
        <v>43456</v>
      </c>
      <c r="P209" s="1">
        <v>4176</v>
      </c>
      <c r="Q209" s="1">
        <v>1000</v>
      </c>
      <c r="R209" s="1">
        <f t="shared" si="56"/>
        <v>3100</v>
      </c>
      <c r="S209" s="1">
        <v>1.5</v>
      </c>
      <c r="U209" s="1">
        <f t="shared" si="57"/>
        <v>986</v>
      </c>
      <c r="V209" s="7">
        <f t="shared" si="58"/>
        <v>3.1440162271805274</v>
      </c>
      <c r="W209" s="7">
        <f t="shared" si="59"/>
        <v>1147.5659229208925</v>
      </c>
      <c r="X209" s="7">
        <f t="shared" si="60"/>
        <v>1.4344574036511155</v>
      </c>
      <c r="AA209" s="8">
        <f t="shared" si="61"/>
        <v>44927</v>
      </c>
      <c r="AB209" s="8">
        <f t="shared" si="62"/>
        <v>45291</v>
      </c>
      <c r="AC209" s="1">
        <v>0</v>
      </c>
      <c r="AD209" s="1">
        <f t="shared" si="63"/>
        <v>0</v>
      </c>
      <c r="AE209" s="1">
        <f t="shared" si="64"/>
        <v>0</v>
      </c>
      <c r="AF209" s="1">
        <f t="shared" si="65"/>
        <v>0</v>
      </c>
      <c r="AG209" s="1">
        <f t="shared" si="66"/>
        <v>0</v>
      </c>
      <c r="AH209" s="1">
        <f t="shared" si="67"/>
        <v>182.5</v>
      </c>
      <c r="AI209" s="5">
        <f t="shared" si="68"/>
        <v>0.5</v>
      </c>
      <c r="AJ209" s="5">
        <f t="shared" si="69"/>
        <v>0.71722870182555776</v>
      </c>
      <c r="AK209" s="5">
        <f t="shared" si="70"/>
        <v>0</v>
      </c>
      <c r="AL209" s="5">
        <f t="shared" si="71"/>
        <v>0</v>
      </c>
      <c r="AM209" s="5">
        <f t="shared" si="72"/>
        <v>0</v>
      </c>
      <c r="AN209" s="5">
        <f t="shared" si="73"/>
        <v>0</v>
      </c>
      <c r="AO209" s="1" t="s">
        <v>102</v>
      </c>
    </row>
    <row r="210" spans="1:41" x14ac:dyDescent="0.25">
      <c r="A210" s="1" t="s">
        <v>19</v>
      </c>
      <c r="B210" s="1" t="s">
        <v>31</v>
      </c>
      <c r="C210" s="1" t="s">
        <v>21</v>
      </c>
      <c r="D210" s="1" t="s">
        <v>32</v>
      </c>
      <c r="E210" s="1" t="s">
        <v>96</v>
      </c>
      <c r="F210" s="1" t="s">
        <v>103</v>
      </c>
      <c r="G210" s="1" t="s">
        <v>114</v>
      </c>
      <c r="H210" s="1" t="s">
        <v>115</v>
      </c>
      <c r="I210" s="1" t="s">
        <v>100</v>
      </c>
      <c r="J210" s="1" t="s">
        <v>101</v>
      </c>
      <c r="K210" s="1" t="s">
        <v>382</v>
      </c>
      <c r="L210" s="1">
        <v>2025566</v>
      </c>
      <c r="M210" s="1" t="s">
        <v>383</v>
      </c>
      <c r="N210" s="8">
        <f>DATE(2016,4,11)</f>
        <v>42471</v>
      </c>
      <c r="O210" s="8">
        <f>DATE(2018,12,22)</f>
        <v>43456</v>
      </c>
      <c r="P210" s="1">
        <v>2410</v>
      </c>
      <c r="Q210" s="1">
        <v>800</v>
      </c>
      <c r="R210" s="1">
        <f t="shared" si="56"/>
        <v>2400</v>
      </c>
      <c r="S210" s="1">
        <v>2.5</v>
      </c>
      <c r="U210" s="1">
        <f t="shared" si="57"/>
        <v>986</v>
      </c>
      <c r="V210" s="7">
        <f t="shared" si="58"/>
        <v>2.4340770791075053</v>
      </c>
      <c r="W210" s="7">
        <f t="shared" si="59"/>
        <v>888.43813387423938</v>
      </c>
      <c r="X210" s="7">
        <f t="shared" si="60"/>
        <v>1.1105476673427992</v>
      </c>
      <c r="AA210" s="8">
        <f t="shared" si="61"/>
        <v>44927</v>
      </c>
      <c r="AB210" s="8">
        <f t="shared" si="62"/>
        <v>45291</v>
      </c>
      <c r="AC210" s="1">
        <v>1</v>
      </c>
      <c r="AD210" s="1">
        <f t="shared" si="63"/>
        <v>0</v>
      </c>
      <c r="AE210" s="1">
        <f t="shared" si="64"/>
        <v>0</v>
      </c>
      <c r="AF210" s="1">
        <f t="shared" si="65"/>
        <v>0</v>
      </c>
      <c r="AG210" s="1">
        <f t="shared" si="66"/>
        <v>0</v>
      </c>
      <c r="AH210" s="1">
        <f t="shared" si="67"/>
        <v>182.5</v>
      </c>
      <c r="AI210" s="5">
        <f t="shared" si="68"/>
        <v>0.5</v>
      </c>
      <c r="AJ210" s="5">
        <f t="shared" si="69"/>
        <v>0.5552738336713996</v>
      </c>
      <c r="AK210" s="5">
        <f t="shared" si="70"/>
        <v>0</v>
      </c>
      <c r="AL210" s="5">
        <f t="shared" si="71"/>
        <v>0</v>
      </c>
      <c r="AM210" s="5">
        <f t="shared" si="72"/>
        <v>0</v>
      </c>
      <c r="AN210" s="5">
        <f t="shared" si="73"/>
        <v>0</v>
      </c>
      <c r="AO210" s="1" t="s">
        <v>102</v>
      </c>
    </row>
    <row r="211" spans="1:41" x14ac:dyDescent="0.25">
      <c r="A211" s="1" t="s">
        <v>19</v>
      </c>
      <c r="B211" s="1" t="s">
        <v>31</v>
      </c>
      <c r="C211" s="1" t="s">
        <v>21</v>
      </c>
      <c r="D211" s="1" t="s">
        <v>32</v>
      </c>
      <c r="E211" s="1" t="s">
        <v>96</v>
      </c>
      <c r="F211" s="1" t="s">
        <v>103</v>
      </c>
      <c r="G211" s="1" t="s">
        <v>98</v>
      </c>
      <c r="H211" s="1" t="s">
        <v>355</v>
      </c>
      <c r="I211" s="1" t="s">
        <v>105</v>
      </c>
      <c r="J211" s="1" t="s">
        <v>106</v>
      </c>
      <c r="L211" s="1">
        <v>2108771</v>
      </c>
      <c r="M211" s="1" t="s">
        <v>384</v>
      </c>
      <c r="N211" s="8">
        <f>DATE(2016,9,19)</f>
        <v>42632</v>
      </c>
      <c r="O211" s="8">
        <f>DATE(2021,7,30)</f>
        <v>44407</v>
      </c>
      <c r="P211" s="1">
        <v>4607</v>
      </c>
      <c r="Q211" s="1">
        <v>3600</v>
      </c>
      <c r="R211" s="1">
        <f t="shared" si="56"/>
        <v>3600</v>
      </c>
      <c r="S211" s="1">
        <v>2.5</v>
      </c>
      <c r="U211" s="1">
        <f t="shared" si="57"/>
        <v>1776</v>
      </c>
      <c r="V211" s="7">
        <f t="shared" si="58"/>
        <v>2.0270270270270272</v>
      </c>
      <c r="W211" s="7">
        <f t="shared" si="59"/>
        <v>739.8648648648649</v>
      </c>
      <c r="X211" s="7">
        <f t="shared" si="60"/>
        <v>0.92483108108108114</v>
      </c>
      <c r="AA211" s="8">
        <f t="shared" si="61"/>
        <v>44927</v>
      </c>
      <c r="AB211" s="8">
        <f t="shared" si="62"/>
        <v>45291</v>
      </c>
      <c r="AC211" s="1">
        <v>12</v>
      </c>
      <c r="AD211" s="1">
        <f t="shared" si="63"/>
        <v>0</v>
      </c>
      <c r="AE211" s="1">
        <f t="shared" si="64"/>
        <v>0</v>
      </c>
      <c r="AF211" s="1">
        <f t="shared" si="65"/>
        <v>0</v>
      </c>
      <c r="AG211" s="1">
        <f t="shared" si="66"/>
        <v>0</v>
      </c>
      <c r="AH211" s="1">
        <f t="shared" si="67"/>
        <v>182.5</v>
      </c>
      <c r="AI211" s="5">
        <f t="shared" si="68"/>
        <v>0.5</v>
      </c>
      <c r="AJ211" s="5">
        <f t="shared" si="69"/>
        <v>0.46241554054054057</v>
      </c>
      <c r="AK211" s="5">
        <f t="shared" si="70"/>
        <v>2.7744932432432434</v>
      </c>
      <c r="AL211" s="5">
        <f t="shared" si="71"/>
        <v>6.9362331081081088</v>
      </c>
      <c r="AM211" s="5">
        <f t="shared" si="72"/>
        <v>3.4681165540540544</v>
      </c>
      <c r="AN211" s="5">
        <f t="shared" si="73"/>
        <v>10.404349662162163</v>
      </c>
      <c r="AO211" s="1" t="s">
        <v>102</v>
      </c>
    </row>
    <row r="212" spans="1:41" x14ac:dyDescent="0.25">
      <c r="A212" s="1" t="s">
        <v>19</v>
      </c>
      <c r="B212" s="1" t="s">
        <v>31</v>
      </c>
      <c r="C212" s="1" t="s">
        <v>21</v>
      </c>
      <c r="D212" s="1" t="s">
        <v>32</v>
      </c>
      <c r="E212" s="1" t="s">
        <v>96</v>
      </c>
      <c r="F212" s="1" t="s">
        <v>103</v>
      </c>
      <c r="G212" s="1" t="s">
        <v>114</v>
      </c>
      <c r="H212" s="1" t="s">
        <v>115</v>
      </c>
      <c r="I212" s="1" t="s">
        <v>100</v>
      </c>
      <c r="J212" s="1" t="s">
        <v>101</v>
      </c>
      <c r="K212" s="1" t="s">
        <v>382</v>
      </c>
      <c r="L212" s="1">
        <v>2141266</v>
      </c>
      <c r="M212" s="1" t="s">
        <v>385</v>
      </c>
      <c r="N212" s="8">
        <f>DATE(2017,3,6)</f>
        <v>42800</v>
      </c>
      <c r="O212" s="8">
        <f>DATE(2019,12,23)</f>
        <v>43822</v>
      </c>
      <c r="P212" s="1">
        <v>2410</v>
      </c>
      <c r="Q212" s="1">
        <v>800</v>
      </c>
      <c r="R212" s="1">
        <f t="shared" si="56"/>
        <v>2400</v>
      </c>
      <c r="S212" s="1">
        <v>2.5</v>
      </c>
      <c r="U212" s="1">
        <f t="shared" si="57"/>
        <v>1023</v>
      </c>
      <c r="V212" s="7">
        <f t="shared" si="58"/>
        <v>2.3460410557184752</v>
      </c>
      <c r="W212" s="7">
        <f t="shared" si="59"/>
        <v>856.30498533724347</v>
      </c>
      <c r="X212" s="7">
        <f t="shared" si="60"/>
        <v>1.0703812316715544</v>
      </c>
      <c r="AA212" s="8">
        <f t="shared" si="61"/>
        <v>44927</v>
      </c>
      <c r="AB212" s="8">
        <f t="shared" si="62"/>
        <v>45291</v>
      </c>
      <c r="AC212" s="1">
        <v>1</v>
      </c>
      <c r="AD212" s="1">
        <f t="shared" si="63"/>
        <v>0</v>
      </c>
      <c r="AE212" s="1">
        <f t="shared" si="64"/>
        <v>0</v>
      </c>
      <c r="AF212" s="1">
        <f t="shared" si="65"/>
        <v>0</v>
      </c>
      <c r="AG212" s="1">
        <f t="shared" si="66"/>
        <v>0</v>
      </c>
      <c r="AH212" s="1">
        <f t="shared" si="67"/>
        <v>182.5</v>
      </c>
      <c r="AI212" s="5">
        <f t="shared" si="68"/>
        <v>0.5</v>
      </c>
      <c r="AJ212" s="5">
        <f t="shared" si="69"/>
        <v>0.53519061583577721</v>
      </c>
      <c r="AK212" s="5">
        <f t="shared" si="70"/>
        <v>0</v>
      </c>
      <c r="AL212" s="5">
        <f t="shared" si="71"/>
        <v>0</v>
      </c>
      <c r="AM212" s="5">
        <f t="shared" si="72"/>
        <v>0</v>
      </c>
      <c r="AN212" s="5">
        <f t="shared" si="73"/>
        <v>0</v>
      </c>
      <c r="AO212" s="1" t="s">
        <v>102</v>
      </c>
    </row>
    <row r="213" spans="1:41" x14ac:dyDescent="0.25">
      <c r="A213" s="1" t="s">
        <v>19</v>
      </c>
      <c r="B213" s="1" t="s">
        <v>31</v>
      </c>
      <c r="C213" s="1" t="s">
        <v>21</v>
      </c>
      <c r="D213" s="1" t="s">
        <v>32</v>
      </c>
      <c r="E213" s="1" t="s">
        <v>96</v>
      </c>
      <c r="F213" s="1" t="s">
        <v>103</v>
      </c>
      <c r="G213" s="1" t="s">
        <v>127</v>
      </c>
      <c r="H213" s="1" t="s">
        <v>360</v>
      </c>
      <c r="I213" s="1" t="s">
        <v>255</v>
      </c>
      <c r="J213" s="1" t="s">
        <v>106</v>
      </c>
      <c r="L213" s="1">
        <v>2145341</v>
      </c>
      <c r="M213" s="1" t="s">
        <v>386</v>
      </c>
      <c r="N213" s="8">
        <f>DATE(2017,3,20)</f>
        <v>42814</v>
      </c>
      <c r="O213" s="8">
        <f>DATE(2019,12,23)</f>
        <v>43822</v>
      </c>
      <c r="P213" s="1">
        <v>2628</v>
      </c>
      <c r="Q213" s="1">
        <v>2400</v>
      </c>
      <c r="R213" s="1">
        <f t="shared" si="56"/>
        <v>2400</v>
      </c>
      <c r="S213" s="1">
        <v>2.5</v>
      </c>
      <c r="U213" s="1">
        <f t="shared" si="57"/>
        <v>1009</v>
      </c>
      <c r="V213" s="7">
        <f t="shared" si="58"/>
        <v>2.3785926660059467</v>
      </c>
      <c r="W213" s="7">
        <f t="shared" si="59"/>
        <v>868.18632309217048</v>
      </c>
      <c r="X213" s="7">
        <f t="shared" si="60"/>
        <v>1.0852329038652131</v>
      </c>
      <c r="AA213" s="8">
        <f t="shared" si="61"/>
        <v>44927</v>
      </c>
      <c r="AB213" s="8">
        <f t="shared" si="62"/>
        <v>45291</v>
      </c>
      <c r="AC213" s="1">
        <v>3</v>
      </c>
      <c r="AD213" s="1">
        <f t="shared" si="63"/>
        <v>0</v>
      </c>
      <c r="AE213" s="1">
        <f t="shared" si="64"/>
        <v>0</v>
      </c>
      <c r="AF213" s="1">
        <f t="shared" si="65"/>
        <v>0</v>
      </c>
      <c r="AG213" s="1">
        <f t="shared" si="66"/>
        <v>0</v>
      </c>
      <c r="AH213" s="1">
        <f t="shared" si="67"/>
        <v>182.5</v>
      </c>
      <c r="AI213" s="5">
        <f t="shared" si="68"/>
        <v>0.5</v>
      </c>
      <c r="AJ213" s="5">
        <f t="shared" si="69"/>
        <v>0.54261645193260655</v>
      </c>
      <c r="AK213" s="5">
        <f t="shared" si="70"/>
        <v>0</v>
      </c>
      <c r="AL213" s="5">
        <f t="shared" si="71"/>
        <v>0</v>
      </c>
      <c r="AM213" s="5">
        <f t="shared" si="72"/>
        <v>0</v>
      </c>
      <c r="AN213" s="5">
        <f t="shared" si="73"/>
        <v>0</v>
      </c>
      <c r="AO213" s="1" t="s">
        <v>102</v>
      </c>
    </row>
    <row r="214" spans="1:41" x14ac:dyDescent="0.25">
      <c r="A214" s="1" t="s">
        <v>19</v>
      </c>
      <c r="B214" s="1" t="s">
        <v>31</v>
      </c>
      <c r="C214" s="1" t="s">
        <v>21</v>
      </c>
      <c r="D214" s="1" t="s">
        <v>32</v>
      </c>
      <c r="E214" s="1" t="s">
        <v>96</v>
      </c>
      <c r="F214" s="1" t="s">
        <v>103</v>
      </c>
      <c r="G214" s="1" t="s">
        <v>127</v>
      </c>
      <c r="H214" s="1" t="s">
        <v>370</v>
      </c>
      <c r="I214" s="1" t="s">
        <v>100</v>
      </c>
      <c r="J214" s="1" t="s">
        <v>101</v>
      </c>
      <c r="L214" s="1">
        <v>2145346</v>
      </c>
      <c r="M214" s="1" t="s">
        <v>387</v>
      </c>
      <c r="N214" s="8">
        <f>DATE(2017,3,20)</f>
        <v>42814</v>
      </c>
      <c r="O214" s="8">
        <f>DATE(2019,7,30)</f>
        <v>43676</v>
      </c>
      <c r="P214" s="1">
        <v>1980</v>
      </c>
      <c r="Q214" s="1">
        <v>1600</v>
      </c>
      <c r="R214" s="1">
        <f t="shared" si="56"/>
        <v>1600</v>
      </c>
      <c r="S214" s="1">
        <v>1</v>
      </c>
      <c r="U214" s="1">
        <f t="shared" si="57"/>
        <v>863</v>
      </c>
      <c r="V214" s="7">
        <f t="shared" si="58"/>
        <v>1.853997682502897</v>
      </c>
      <c r="W214" s="7">
        <f t="shared" si="59"/>
        <v>676.70915411355736</v>
      </c>
      <c r="X214" s="7">
        <f t="shared" si="60"/>
        <v>0.84588644264194668</v>
      </c>
      <c r="AA214" s="8">
        <f t="shared" si="61"/>
        <v>44927</v>
      </c>
      <c r="AB214" s="8">
        <f t="shared" si="62"/>
        <v>45291</v>
      </c>
      <c r="AC214" s="1">
        <v>1</v>
      </c>
      <c r="AD214" s="1">
        <f t="shared" si="63"/>
        <v>0</v>
      </c>
      <c r="AE214" s="1">
        <f t="shared" si="64"/>
        <v>0</v>
      </c>
      <c r="AF214" s="1">
        <f t="shared" si="65"/>
        <v>0</v>
      </c>
      <c r="AG214" s="1">
        <f t="shared" si="66"/>
        <v>0</v>
      </c>
      <c r="AH214" s="1">
        <f t="shared" si="67"/>
        <v>182.5</v>
      </c>
      <c r="AI214" s="5">
        <f t="shared" si="68"/>
        <v>0.5</v>
      </c>
      <c r="AJ214" s="5">
        <f t="shared" si="69"/>
        <v>0.42294322132097334</v>
      </c>
      <c r="AK214" s="5">
        <f t="shared" si="70"/>
        <v>0</v>
      </c>
      <c r="AL214" s="5">
        <f t="shared" si="71"/>
        <v>0</v>
      </c>
      <c r="AM214" s="5">
        <f t="shared" si="72"/>
        <v>0</v>
      </c>
      <c r="AN214" s="5">
        <f t="shared" si="73"/>
        <v>0</v>
      </c>
      <c r="AO214" s="1" t="s">
        <v>102</v>
      </c>
    </row>
    <row r="215" spans="1:41" x14ac:dyDescent="0.25">
      <c r="A215" s="1" t="s">
        <v>19</v>
      </c>
      <c r="B215" s="1" t="s">
        <v>31</v>
      </c>
      <c r="C215" s="1" t="s">
        <v>21</v>
      </c>
      <c r="D215" s="1" t="s">
        <v>32</v>
      </c>
      <c r="E215" s="1" t="s">
        <v>96</v>
      </c>
      <c r="F215" s="1" t="s">
        <v>103</v>
      </c>
      <c r="G215" s="1" t="s">
        <v>320</v>
      </c>
      <c r="H215" s="1" t="s">
        <v>353</v>
      </c>
      <c r="I215" s="1" t="s">
        <v>174</v>
      </c>
      <c r="J215" s="1" t="s">
        <v>101</v>
      </c>
      <c r="L215" s="1">
        <v>2146435</v>
      </c>
      <c r="M215" s="1" t="s">
        <v>388</v>
      </c>
      <c r="N215" s="8">
        <f>DATE(2017,3,20)</f>
        <v>42814</v>
      </c>
      <c r="O215" s="8">
        <f>DATE(2020,12,22)</f>
        <v>44187</v>
      </c>
      <c r="P215" s="1">
        <v>3656</v>
      </c>
      <c r="Q215" s="1">
        <v>3200</v>
      </c>
      <c r="R215" s="1">
        <f t="shared" si="56"/>
        <v>3200</v>
      </c>
      <c r="S215" s="1">
        <v>2.5</v>
      </c>
      <c r="U215" s="1">
        <f t="shared" si="57"/>
        <v>1374</v>
      </c>
      <c r="V215" s="7">
        <f t="shared" si="58"/>
        <v>2.3289665211062589</v>
      </c>
      <c r="W215" s="7">
        <f t="shared" si="59"/>
        <v>850.07278020378453</v>
      </c>
      <c r="X215" s="7">
        <f t="shared" si="60"/>
        <v>1.0625909752547307</v>
      </c>
      <c r="AA215" s="8">
        <f t="shared" si="61"/>
        <v>44927</v>
      </c>
      <c r="AB215" s="8">
        <f t="shared" si="62"/>
        <v>45291</v>
      </c>
      <c r="AC215" s="1">
        <v>7</v>
      </c>
      <c r="AD215" s="1">
        <f t="shared" si="63"/>
        <v>0</v>
      </c>
      <c r="AE215" s="1">
        <f t="shared" si="64"/>
        <v>0</v>
      </c>
      <c r="AF215" s="1">
        <f t="shared" si="65"/>
        <v>0</v>
      </c>
      <c r="AG215" s="1">
        <f t="shared" si="66"/>
        <v>0</v>
      </c>
      <c r="AH215" s="1">
        <f t="shared" si="67"/>
        <v>182.5</v>
      </c>
      <c r="AI215" s="5">
        <f t="shared" si="68"/>
        <v>0.5</v>
      </c>
      <c r="AJ215" s="5">
        <f t="shared" si="69"/>
        <v>0.53129548762736534</v>
      </c>
      <c r="AK215" s="5">
        <f t="shared" si="70"/>
        <v>1.8595342066957787</v>
      </c>
      <c r="AL215" s="5">
        <f t="shared" si="71"/>
        <v>4.6488355167394468</v>
      </c>
      <c r="AM215" s="5">
        <f t="shared" si="72"/>
        <v>0</v>
      </c>
      <c r="AN215" s="5">
        <f t="shared" si="73"/>
        <v>4.6488355167394468</v>
      </c>
      <c r="AO215" s="1" t="s">
        <v>102</v>
      </c>
    </row>
    <row r="216" spans="1:41" x14ac:dyDescent="0.25">
      <c r="A216" s="1" t="s">
        <v>19</v>
      </c>
      <c r="B216" s="1" t="s">
        <v>31</v>
      </c>
      <c r="C216" s="1" t="s">
        <v>21</v>
      </c>
      <c r="D216" s="1" t="s">
        <v>32</v>
      </c>
      <c r="E216" s="1" t="s">
        <v>96</v>
      </c>
      <c r="F216" s="1" t="s">
        <v>103</v>
      </c>
      <c r="G216" s="1" t="s">
        <v>98</v>
      </c>
      <c r="H216" s="1" t="s">
        <v>355</v>
      </c>
      <c r="I216" s="1" t="s">
        <v>105</v>
      </c>
      <c r="J216" s="1" t="s">
        <v>106</v>
      </c>
      <c r="L216" s="1">
        <v>2147561</v>
      </c>
      <c r="M216" s="1" t="s">
        <v>389</v>
      </c>
      <c r="N216" s="8">
        <f>DATE(2017,3,20)</f>
        <v>42814</v>
      </c>
      <c r="O216" s="8">
        <f>DATE(2021,12,22)</f>
        <v>44552</v>
      </c>
      <c r="P216" s="1">
        <v>4590</v>
      </c>
      <c r="Q216" s="1">
        <v>3600</v>
      </c>
      <c r="R216" s="1">
        <f t="shared" si="56"/>
        <v>3600</v>
      </c>
      <c r="S216" s="1">
        <v>2.5</v>
      </c>
      <c r="U216" s="1">
        <f t="shared" si="57"/>
        <v>1739</v>
      </c>
      <c r="V216" s="7">
        <f t="shared" si="58"/>
        <v>2.0701552616446235</v>
      </c>
      <c r="W216" s="7">
        <f t="shared" si="59"/>
        <v>755.60667050028758</v>
      </c>
      <c r="X216" s="7">
        <f t="shared" si="60"/>
        <v>0.9445083381253595</v>
      </c>
      <c r="AA216" s="8">
        <f t="shared" si="61"/>
        <v>44927</v>
      </c>
      <c r="AB216" s="8">
        <f t="shared" si="62"/>
        <v>45291</v>
      </c>
      <c r="AC216" s="1">
        <v>9</v>
      </c>
      <c r="AD216" s="1">
        <f t="shared" si="63"/>
        <v>0</v>
      </c>
      <c r="AE216" s="1">
        <f t="shared" si="64"/>
        <v>0</v>
      </c>
      <c r="AF216" s="1">
        <f t="shared" si="65"/>
        <v>0</v>
      </c>
      <c r="AG216" s="1">
        <f t="shared" si="66"/>
        <v>0</v>
      </c>
      <c r="AH216" s="1">
        <f t="shared" si="67"/>
        <v>182.5</v>
      </c>
      <c r="AI216" s="5">
        <f t="shared" si="68"/>
        <v>0.5</v>
      </c>
      <c r="AJ216" s="5">
        <f t="shared" si="69"/>
        <v>0.47225416906267975</v>
      </c>
      <c r="AK216" s="5">
        <f t="shared" si="70"/>
        <v>2.1251437607820587</v>
      </c>
      <c r="AL216" s="5">
        <f t="shared" si="71"/>
        <v>5.3128594019551469</v>
      </c>
      <c r="AM216" s="5">
        <f t="shared" si="72"/>
        <v>2.6564297009775735</v>
      </c>
      <c r="AN216" s="5">
        <f t="shared" si="73"/>
        <v>7.96928910293272</v>
      </c>
      <c r="AO216" s="1" t="s">
        <v>102</v>
      </c>
    </row>
    <row r="217" spans="1:41" x14ac:dyDescent="0.25">
      <c r="A217" s="1" t="s">
        <v>19</v>
      </c>
      <c r="B217" s="1" t="s">
        <v>31</v>
      </c>
      <c r="C217" s="1" t="s">
        <v>21</v>
      </c>
      <c r="D217" s="1" t="s">
        <v>32</v>
      </c>
      <c r="E217" s="1" t="s">
        <v>96</v>
      </c>
      <c r="F217" s="1" t="s">
        <v>103</v>
      </c>
      <c r="G217" s="1" t="s">
        <v>98</v>
      </c>
      <c r="H217" s="1" t="s">
        <v>355</v>
      </c>
      <c r="I217" s="1" t="s">
        <v>105</v>
      </c>
      <c r="J217" s="1" t="s">
        <v>106</v>
      </c>
      <c r="L217" s="1">
        <v>2194865</v>
      </c>
      <c r="M217" s="1" t="s">
        <v>390</v>
      </c>
      <c r="N217" s="8">
        <f>DATE(2017,9,4)</f>
        <v>42982</v>
      </c>
      <c r="O217" s="8">
        <f>DATE(2022,7,30)</f>
        <v>44772</v>
      </c>
      <c r="P217" s="1">
        <v>4590</v>
      </c>
      <c r="Q217" s="1">
        <v>3600</v>
      </c>
      <c r="R217" s="1">
        <f t="shared" si="56"/>
        <v>3600</v>
      </c>
      <c r="S217" s="1">
        <v>2.5</v>
      </c>
      <c r="U217" s="1">
        <f t="shared" si="57"/>
        <v>1791</v>
      </c>
      <c r="V217" s="7">
        <f t="shared" si="58"/>
        <v>2.0100502512562812</v>
      </c>
      <c r="W217" s="7">
        <f t="shared" si="59"/>
        <v>733.6683417085427</v>
      </c>
      <c r="X217" s="7">
        <f t="shared" si="60"/>
        <v>0.91708542713567842</v>
      </c>
      <c r="AA217" s="8">
        <f t="shared" si="61"/>
        <v>44927</v>
      </c>
      <c r="AB217" s="8">
        <f t="shared" si="62"/>
        <v>45291</v>
      </c>
      <c r="AC217" s="1">
        <v>18</v>
      </c>
      <c r="AD217" s="1">
        <f t="shared" si="63"/>
        <v>0</v>
      </c>
      <c r="AE217" s="1">
        <f t="shared" si="64"/>
        <v>0</v>
      </c>
      <c r="AF217" s="1">
        <f t="shared" si="65"/>
        <v>0</v>
      </c>
      <c r="AG217" s="1">
        <f t="shared" si="66"/>
        <v>0</v>
      </c>
      <c r="AH217" s="1">
        <f t="shared" si="67"/>
        <v>182.5</v>
      </c>
      <c r="AI217" s="5">
        <f t="shared" si="68"/>
        <v>0.5</v>
      </c>
      <c r="AJ217" s="5">
        <f t="shared" si="69"/>
        <v>0.45854271356783921</v>
      </c>
      <c r="AK217" s="5">
        <f t="shared" si="70"/>
        <v>4.1268844221105532</v>
      </c>
      <c r="AL217" s="5">
        <f t="shared" si="71"/>
        <v>10.317211055276383</v>
      </c>
      <c r="AM217" s="5">
        <f t="shared" si="72"/>
        <v>5.1586055276381915</v>
      </c>
      <c r="AN217" s="5">
        <f t="shared" si="73"/>
        <v>15.475816582914575</v>
      </c>
      <c r="AO217" s="1" t="s">
        <v>102</v>
      </c>
    </row>
    <row r="218" spans="1:41" x14ac:dyDescent="0.25">
      <c r="A218" s="1" t="s">
        <v>19</v>
      </c>
      <c r="B218" s="1" t="s">
        <v>31</v>
      </c>
      <c r="C218" s="1" t="s">
        <v>21</v>
      </c>
      <c r="D218" s="1" t="s">
        <v>32</v>
      </c>
      <c r="E218" s="1" t="s">
        <v>96</v>
      </c>
      <c r="F218" s="1" t="s">
        <v>103</v>
      </c>
      <c r="G218" s="1" t="s">
        <v>98</v>
      </c>
      <c r="H218" s="1" t="s">
        <v>355</v>
      </c>
      <c r="I218" s="1" t="s">
        <v>105</v>
      </c>
      <c r="J218" s="1" t="s">
        <v>106</v>
      </c>
      <c r="L218" s="1">
        <v>2489393</v>
      </c>
      <c r="M218" s="1" t="s">
        <v>391</v>
      </c>
      <c r="N218" s="8">
        <f t="shared" ref="N218:N223" si="74">DATE(2018,3,19)</f>
        <v>43178</v>
      </c>
      <c r="O218" s="8">
        <f>DATE(2022,12,22)</f>
        <v>44917</v>
      </c>
      <c r="P218" s="1">
        <v>4590</v>
      </c>
      <c r="Q218" s="1">
        <v>3600</v>
      </c>
      <c r="R218" s="1">
        <f t="shared" si="56"/>
        <v>3600</v>
      </c>
      <c r="S218" s="1">
        <v>2.5</v>
      </c>
      <c r="U218" s="1">
        <f t="shared" si="57"/>
        <v>1740</v>
      </c>
      <c r="V218" s="7">
        <f t="shared" si="58"/>
        <v>2.0689655172413794</v>
      </c>
      <c r="W218" s="7">
        <f t="shared" si="59"/>
        <v>755.17241379310349</v>
      </c>
      <c r="X218" s="7">
        <f t="shared" si="60"/>
        <v>0.94396551724137934</v>
      </c>
      <c r="AA218" s="8">
        <f t="shared" si="61"/>
        <v>44927</v>
      </c>
      <c r="AB218" s="8">
        <f t="shared" si="62"/>
        <v>45291</v>
      </c>
      <c r="AC218" s="1">
        <v>20</v>
      </c>
      <c r="AD218" s="1">
        <f t="shared" si="63"/>
        <v>0</v>
      </c>
      <c r="AE218" s="1">
        <f t="shared" si="64"/>
        <v>0</v>
      </c>
      <c r="AF218" s="1">
        <f t="shared" si="65"/>
        <v>0</v>
      </c>
      <c r="AG218" s="1">
        <f t="shared" si="66"/>
        <v>0</v>
      </c>
      <c r="AH218" s="1">
        <f t="shared" si="67"/>
        <v>182.5</v>
      </c>
      <c r="AI218" s="5">
        <f t="shared" si="68"/>
        <v>0.5</v>
      </c>
      <c r="AJ218" s="5">
        <f t="shared" si="69"/>
        <v>0.47198275862068967</v>
      </c>
      <c r="AK218" s="5">
        <f t="shared" si="70"/>
        <v>4.7198275862068968</v>
      </c>
      <c r="AL218" s="5">
        <f t="shared" si="71"/>
        <v>11.799568965517242</v>
      </c>
      <c r="AM218" s="5">
        <f t="shared" si="72"/>
        <v>5.899784482758621</v>
      </c>
      <c r="AN218" s="5">
        <f t="shared" si="73"/>
        <v>17.699353448275865</v>
      </c>
      <c r="AO218" s="1" t="s">
        <v>102</v>
      </c>
    </row>
    <row r="219" spans="1:41" x14ac:dyDescent="0.25">
      <c r="A219" s="1" t="s">
        <v>19</v>
      </c>
      <c r="B219" s="1" t="s">
        <v>31</v>
      </c>
      <c r="C219" s="1" t="s">
        <v>21</v>
      </c>
      <c r="D219" s="1" t="s">
        <v>32</v>
      </c>
      <c r="E219" s="1" t="s">
        <v>96</v>
      </c>
      <c r="F219" s="1" t="s">
        <v>103</v>
      </c>
      <c r="G219" s="1" t="s">
        <v>127</v>
      </c>
      <c r="H219" s="1" t="s">
        <v>360</v>
      </c>
      <c r="I219" s="1" t="s">
        <v>255</v>
      </c>
      <c r="J219" s="1" t="s">
        <v>106</v>
      </c>
      <c r="L219" s="1">
        <v>2489398</v>
      </c>
      <c r="M219" s="1" t="s">
        <v>392</v>
      </c>
      <c r="N219" s="8">
        <f t="shared" si="74"/>
        <v>43178</v>
      </c>
      <c r="O219" s="8">
        <f>DATE(2020,12,22)</f>
        <v>44187</v>
      </c>
      <c r="P219" s="1">
        <v>2628</v>
      </c>
      <c r="Q219" s="1">
        <v>2400</v>
      </c>
      <c r="R219" s="1">
        <f t="shared" si="56"/>
        <v>2400</v>
      </c>
      <c r="S219" s="1">
        <v>2.5</v>
      </c>
      <c r="U219" s="1">
        <f t="shared" si="57"/>
        <v>1010</v>
      </c>
      <c r="V219" s="7">
        <f t="shared" si="58"/>
        <v>2.3762376237623761</v>
      </c>
      <c r="W219" s="7">
        <f t="shared" si="59"/>
        <v>867.32673267326732</v>
      </c>
      <c r="X219" s="7">
        <f t="shared" si="60"/>
        <v>1.0841584158415842</v>
      </c>
      <c r="AA219" s="8">
        <f t="shared" si="61"/>
        <v>44927</v>
      </c>
      <c r="AB219" s="8">
        <f t="shared" si="62"/>
        <v>45291</v>
      </c>
      <c r="AC219" s="1">
        <v>5</v>
      </c>
      <c r="AD219" s="1">
        <f t="shared" si="63"/>
        <v>0</v>
      </c>
      <c r="AE219" s="1">
        <f t="shared" si="64"/>
        <v>0</v>
      </c>
      <c r="AF219" s="1">
        <f t="shared" si="65"/>
        <v>0</v>
      </c>
      <c r="AG219" s="1">
        <f t="shared" si="66"/>
        <v>0</v>
      </c>
      <c r="AH219" s="1">
        <f t="shared" si="67"/>
        <v>182.5</v>
      </c>
      <c r="AI219" s="5">
        <f t="shared" si="68"/>
        <v>0.5</v>
      </c>
      <c r="AJ219" s="5">
        <f t="shared" si="69"/>
        <v>0.54207920792079212</v>
      </c>
      <c r="AK219" s="5">
        <f t="shared" si="70"/>
        <v>1.3551980198019802</v>
      </c>
      <c r="AL219" s="5">
        <f t="shared" si="71"/>
        <v>3.3879950495049505</v>
      </c>
      <c r="AM219" s="5">
        <f t="shared" si="72"/>
        <v>1.6939975247524752</v>
      </c>
      <c r="AN219" s="5">
        <f t="shared" si="73"/>
        <v>5.0819925742574252</v>
      </c>
      <c r="AO219" s="1" t="s">
        <v>102</v>
      </c>
    </row>
    <row r="220" spans="1:41" x14ac:dyDescent="0.25">
      <c r="A220" s="1" t="s">
        <v>19</v>
      </c>
      <c r="B220" s="1" t="s">
        <v>31</v>
      </c>
      <c r="C220" s="1" t="s">
        <v>21</v>
      </c>
      <c r="D220" s="1" t="s">
        <v>32</v>
      </c>
      <c r="E220" s="1" t="s">
        <v>96</v>
      </c>
      <c r="F220" s="1" t="s">
        <v>103</v>
      </c>
      <c r="G220" s="1" t="s">
        <v>127</v>
      </c>
      <c r="H220" s="1" t="s">
        <v>370</v>
      </c>
      <c r="I220" s="1" t="s">
        <v>100</v>
      </c>
      <c r="J220" s="1" t="s">
        <v>101</v>
      </c>
      <c r="L220" s="1">
        <v>2489411</v>
      </c>
      <c r="M220" s="1" t="s">
        <v>393</v>
      </c>
      <c r="N220" s="8">
        <f t="shared" si="74"/>
        <v>43178</v>
      </c>
      <c r="O220" s="8">
        <f>DATE(2020,7,30)</f>
        <v>44042</v>
      </c>
      <c r="P220" s="1">
        <v>1980</v>
      </c>
      <c r="Q220" s="1">
        <v>1600</v>
      </c>
      <c r="R220" s="1">
        <f t="shared" si="56"/>
        <v>1600</v>
      </c>
      <c r="S220" s="1">
        <v>1</v>
      </c>
      <c r="U220" s="1">
        <f t="shared" si="57"/>
        <v>865</v>
      </c>
      <c r="V220" s="7">
        <f t="shared" si="58"/>
        <v>1.8497109826589595</v>
      </c>
      <c r="W220" s="7">
        <f t="shared" si="59"/>
        <v>675.14450867052017</v>
      </c>
      <c r="X220" s="7">
        <f t="shared" si="60"/>
        <v>0.8439306358381502</v>
      </c>
      <c r="AA220" s="8">
        <f t="shared" si="61"/>
        <v>44927</v>
      </c>
      <c r="AB220" s="8">
        <f t="shared" si="62"/>
        <v>45291</v>
      </c>
      <c r="AC220" s="1">
        <v>12</v>
      </c>
      <c r="AD220" s="1">
        <f t="shared" si="63"/>
        <v>0</v>
      </c>
      <c r="AE220" s="1">
        <f t="shared" si="64"/>
        <v>0</v>
      </c>
      <c r="AF220" s="1">
        <f t="shared" si="65"/>
        <v>0</v>
      </c>
      <c r="AG220" s="1">
        <f t="shared" si="66"/>
        <v>0</v>
      </c>
      <c r="AH220" s="1">
        <f t="shared" si="67"/>
        <v>182.5</v>
      </c>
      <c r="AI220" s="5">
        <f t="shared" si="68"/>
        <v>0.5</v>
      </c>
      <c r="AJ220" s="5">
        <f t="shared" si="69"/>
        <v>0.4219653179190751</v>
      </c>
      <c r="AK220" s="5">
        <f t="shared" si="70"/>
        <v>2.5317919075144504</v>
      </c>
      <c r="AL220" s="5">
        <f t="shared" si="71"/>
        <v>2.5317919075144504</v>
      </c>
      <c r="AM220" s="5">
        <f t="shared" si="72"/>
        <v>0</v>
      </c>
      <c r="AN220" s="5">
        <f t="shared" si="73"/>
        <v>2.5317919075144504</v>
      </c>
      <c r="AO220" s="1" t="s">
        <v>102</v>
      </c>
    </row>
    <row r="221" spans="1:41" x14ac:dyDescent="0.25">
      <c r="A221" s="1" t="s">
        <v>19</v>
      </c>
      <c r="B221" s="1" t="s">
        <v>31</v>
      </c>
      <c r="C221" s="1" t="s">
        <v>21</v>
      </c>
      <c r="D221" s="1" t="s">
        <v>32</v>
      </c>
      <c r="E221" s="1" t="s">
        <v>96</v>
      </c>
      <c r="F221" s="1" t="s">
        <v>103</v>
      </c>
      <c r="G221" s="1" t="s">
        <v>114</v>
      </c>
      <c r="H221" s="1" t="s">
        <v>249</v>
      </c>
      <c r="I221" s="1" t="s">
        <v>162</v>
      </c>
      <c r="J221" s="1" t="s">
        <v>101</v>
      </c>
      <c r="K221" s="1" t="s">
        <v>116</v>
      </c>
      <c r="L221" s="1">
        <v>2489430</v>
      </c>
      <c r="M221" s="1" t="s">
        <v>394</v>
      </c>
      <c r="N221" s="8">
        <f t="shared" si="74"/>
        <v>43178</v>
      </c>
      <c r="O221" s="8">
        <f>DATE(2020,12,22)</f>
        <v>44187</v>
      </c>
      <c r="P221" s="1">
        <v>4176</v>
      </c>
      <c r="Q221" s="1">
        <v>1000</v>
      </c>
      <c r="R221" s="1">
        <f t="shared" si="56"/>
        <v>3100</v>
      </c>
      <c r="S221" s="1">
        <v>1.5</v>
      </c>
      <c r="U221" s="1">
        <f t="shared" si="57"/>
        <v>1010</v>
      </c>
      <c r="V221" s="7">
        <f t="shared" si="58"/>
        <v>3.0693069306930694</v>
      </c>
      <c r="W221" s="7">
        <f t="shared" si="59"/>
        <v>1120.2970297029703</v>
      </c>
      <c r="X221" s="7">
        <f t="shared" si="60"/>
        <v>1.4003712871287128</v>
      </c>
      <c r="AA221" s="8">
        <f t="shared" si="61"/>
        <v>44927</v>
      </c>
      <c r="AB221" s="8">
        <f t="shared" si="62"/>
        <v>45291</v>
      </c>
      <c r="AC221" s="1">
        <v>1</v>
      </c>
      <c r="AD221" s="1">
        <f t="shared" si="63"/>
        <v>0</v>
      </c>
      <c r="AE221" s="1">
        <f t="shared" si="64"/>
        <v>0</v>
      </c>
      <c r="AF221" s="1">
        <f t="shared" si="65"/>
        <v>0</v>
      </c>
      <c r="AG221" s="1">
        <f t="shared" si="66"/>
        <v>0</v>
      </c>
      <c r="AH221" s="1">
        <f t="shared" si="67"/>
        <v>182.5</v>
      </c>
      <c r="AI221" s="5">
        <f t="shared" si="68"/>
        <v>0.5</v>
      </c>
      <c r="AJ221" s="5">
        <f t="shared" si="69"/>
        <v>0.70018564356435642</v>
      </c>
      <c r="AK221" s="5">
        <f t="shared" si="70"/>
        <v>0.35009282178217821</v>
      </c>
      <c r="AL221" s="5">
        <f t="shared" si="71"/>
        <v>0.52513923267326734</v>
      </c>
      <c r="AM221" s="5">
        <f t="shared" si="72"/>
        <v>0</v>
      </c>
      <c r="AN221" s="5">
        <f t="shared" si="73"/>
        <v>0.52513923267326734</v>
      </c>
      <c r="AO221" s="1" t="s">
        <v>102</v>
      </c>
    </row>
    <row r="222" spans="1:41" x14ac:dyDescent="0.25">
      <c r="A222" s="1" t="s">
        <v>19</v>
      </c>
      <c r="B222" s="1" t="s">
        <v>31</v>
      </c>
      <c r="C222" s="1" t="s">
        <v>21</v>
      </c>
      <c r="D222" s="1" t="s">
        <v>32</v>
      </c>
      <c r="E222" s="1" t="s">
        <v>96</v>
      </c>
      <c r="F222" s="1" t="s">
        <v>103</v>
      </c>
      <c r="G222" s="1" t="s">
        <v>114</v>
      </c>
      <c r="H222" s="1" t="s">
        <v>119</v>
      </c>
      <c r="I222" s="1" t="s">
        <v>105</v>
      </c>
      <c r="J222" s="1" t="s">
        <v>106</v>
      </c>
      <c r="K222" s="1" t="s">
        <v>116</v>
      </c>
      <c r="L222" s="1">
        <v>2490041</v>
      </c>
      <c r="M222" s="1" t="s">
        <v>395</v>
      </c>
      <c r="N222" s="8">
        <f t="shared" si="74"/>
        <v>43178</v>
      </c>
      <c r="O222" s="8">
        <f>DATE(2020,12,22)</f>
        <v>44187</v>
      </c>
      <c r="P222" s="1">
        <v>4176</v>
      </c>
      <c r="Q222" s="1">
        <v>1200</v>
      </c>
      <c r="R222" s="1">
        <f t="shared" si="56"/>
        <v>3200</v>
      </c>
      <c r="S222" s="1">
        <v>2.5</v>
      </c>
      <c r="U222" s="1">
        <f t="shared" si="57"/>
        <v>1010</v>
      </c>
      <c r="V222" s="7">
        <f t="shared" si="58"/>
        <v>3.1683168316831685</v>
      </c>
      <c r="W222" s="7">
        <f t="shared" si="59"/>
        <v>1156.4356435643565</v>
      </c>
      <c r="X222" s="7">
        <f t="shared" si="60"/>
        <v>1.4455445544554457</v>
      </c>
      <c r="AA222" s="8">
        <f t="shared" si="61"/>
        <v>44927</v>
      </c>
      <c r="AB222" s="8">
        <f t="shared" si="62"/>
        <v>45291</v>
      </c>
      <c r="AC222" s="1">
        <v>3</v>
      </c>
      <c r="AD222" s="1">
        <f t="shared" si="63"/>
        <v>0</v>
      </c>
      <c r="AE222" s="1">
        <f t="shared" si="64"/>
        <v>0</v>
      </c>
      <c r="AF222" s="1">
        <f t="shared" si="65"/>
        <v>0</v>
      </c>
      <c r="AG222" s="1">
        <f t="shared" si="66"/>
        <v>0</v>
      </c>
      <c r="AH222" s="1">
        <f t="shared" si="67"/>
        <v>182.5</v>
      </c>
      <c r="AI222" s="5">
        <f t="shared" si="68"/>
        <v>0.5</v>
      </c>
      <c r="AJ222" s="5">
        <f t="shared" si="69"/>
        <v>0.72277227722772286</v>
      </c>
      <c r="AK222" s="5">
        <f t="shared" si="70"/>
        <v>1.0841584158415842</v>
      </c>
      <c r="AL222" s="5">
        <f t="shared" si="71"/>
        <v>2.7103960396039604</v>
      </c>
      <c r="AM222" s="5">
        <f t="shared" si="72"/>
        <v>1.3551980198019802</v>
      </c>
      <c r="AN222" s="5">
        <f t="shared" si="73"/>
        <v>4.0655940594059405</v>
      </c>
      <c r="AO222" s="1" t="s">
        <v>102</v>
      </c>
    </row>
    <row r="223" spans="1:41" x14ac:dyDescent="0.25">
      <c r="A223" s="1" t="s">
        <v>19</v>
      </c>
      <c r="B223" s="1" t="s">
        <v>31</v>
      </c>
      <c r="C223" s="1" t="s">
        <v>21</v>
      </c>
      <c r="D223" s="1" t="s">
        <v>32</v>
      </c>
      <c r="E223" s="1" t="s">
        <v>96</v>
      </c>
      <c r="F223" s="1" t="s">
        <v>103</v>
      </c>
      <c r="G223" s="1" t="s">
        <v>320</v>
      </c>
      <c r="H223" s="1" t="s">
        <v>353</v>
      </c>
      <c r="I223" s="1" t="s">
        <v>174</v>
      </c>
      <c r="J223" s="1" t="s">
        <v>101</v>
      </c>
      <c r="L223" s="1">
        <v>2490943</v>
      </c>
      <c r="M223" s="1" t="s">
        <v>396</v>
      </c>
      <c r="N223" s="8">
        <f t="shared" si="74"/>
        <v>43178</v>
      </c>
      <c r="O223" s="8">
        <f>DATE(2022,7,30)</f>
        <v>44772</v>
      </c>
      <c r="P223" s="1">
        <v>3400</v>
      </c>
      <c r="Q223" s="1">
        <v>3200</v>
      </c>
      <c r="R223" s="1">
        <f t="shared" si="56"/>
        <v>3200</v>
      </c>
      <c r="S223" s="1">
        <v>2.5</v>
      </c>
      <c r="U223" s="1">
        <f t="shared" si="57"/>
        <v>1595</v>
      </c>
      <c r="V223" s="7">
        <f t="shared" si="58"/>
        <v>2.0062695924764888</v>
      </c>
      <c r="W223" s="7">
        <f t="shared" si="59"/>
        <v>732.28840125391844</v>
      </c>
      <c r="X223" s="7">
        <f t="shared" si="60"/>
        <v>0.91536050156739801</v>
      </c>
      <c r="AA223" s="8">
        <f t="shared" si="61"/>
        <v>44927</v>
      </c>
      <c r="AB223" s="8">
        <f t="shared" si="62"/>
        <v>45291</v>
      </c>
      <c r="AC223" s="1">
        <v>6</v>
      </c>
      <c r="AD223" s="1">
        <f t="shared" si="63"/>
        <v>0</v>
      </c>
      <c r="AE223" s="1">
        <f t="shared" si="64"/>
        <v>0</v>
      </c>
      <c r="AF223" s="1">
        <f t="shared" si="65"/>
        <v>0</v>
      </c>
      <c r="AG223" s="1">
        <f t="shared" si="66"/>
        <v>0</v>
      </c>
      <c r="AH223" s="1">
        <f t="shared" si="67"/>
        <v>182.5</v>
      </c>
      <c r="AI223" s="5">
        <f t="shared" si="68"/>
        <v>0.5</v>
      </c>
      <c r="AJ223" s="5">
        <f t="shared" si="69"/>
        <v>0.45768025078369901</v>
      </c>
      <c r="AK223" s="5">
        <f t="shared" si="70"/>
        <v>1.373040752351097</v>
      </c>
      <c r="AL223" s="5">
        <f t="shared" si="71"/>
        <v>3.4326018808777423</v>
      </c>
      <c r="AM223" s="5">
        <f t="shared" si="72"/>
        <v>0</v>
      </c>
      <c r="AN223" s="5">
        <f t="shared" si="73"/>
        <v>3.4326018808777423</v>
      </c>
      <c r="AO223" s="1" t="s">
        <v>102</v>
      </c>
    </row>
    <row r="224" spans="1:41" x14ac:dyDescent="0.25">
      <c r="A224" s="1" t="s">
        <v>19</v>
      </c>
      <c r="B224" s="1" t="s">
        <v>31</v>
      </c>
      <c r="C224" s="1" t="s">
        <v>21</v>
      </c>
      <c r="D224" s="1" t="s">
        <v>32</v>
      </c>
      <c r="E224" s="1" t="s">
        <v>96</v>
      </c>
      <c r="F224" s="1" t="s">
        <v>103</v>
      </c>
      <c r="G224" s="1" t="s">
        <v>98</v>
      </c>
      <c r="H224" s="1" t="s">
        <v>355</v>
      </c>
      <c r="I224" s="1" t="s">
        <v>105</v>
      </c>
      <c r="J224" s="1" t="s">
        <v>106</v>
      </c>
      <c r="L224" s="1">
        <v>2526066</v>
      </c>
      <c r="M224" s="1" t="s">
        <v>397</v>
      </c>
      <c r="N224" s="8">
        <f>DATE(2018,8,13)</f>
        <v>43325</v>
      </c>
      <c r="O224" s="8">
        <f>DATE(2023,7,30)</f>
        <v>45137</v>
      </c>
      <c r="P224" s="1">
        <v>4590</v>
      </c>
      <c r="Q224" s="1">
        <v>3600</v>
      </c>
      <c r="R224" s="1">
        <f t="shared" si="56"/>
        <v>3600</v>
      </c>
      <c r="S224" s="1">
        <v>2.5</v>
      </c>
      <c r="U224" s="1">
        <f t="shared" si="57"/>
        <v>1813</v>
      </c>
      <c r="V224" s="7">
        <f t="shared" si="58"/>
        <v>1.9856591285162715</v>
      </c>
      <c r="W224" s="7">
        <f t="shared" si="59"/>
        <v>724.76558190843912</v>
      </c>
      <c r="X224" s="7">
        <f t="shared" si="60"/>
        <v>0.90595697738554892</v>
      </c>
      <c r="AA224" s="8">
        <f t="shared" si="61"/>
        <v>44927</v>
      </c>
      <c r="AB224" s="8">
        <f t="shared" si="62"/>
        <v>45291</v>
      </c>
      <c r="AC224" s="1">
        <v>20</v>
      </c>
      <c r="AD224" s="1">
        <f t="shared" si="63"/>
        <v>0</v>
      </c>
      <c r="AE224" s="1">
        <f t="shared" si="64"/>
        <v>0</v>
      </c>
      <c r="AF224" s="1">
        <f t="shared" si="65"/>
        <v>211</v>
      </c>
      <c r="AG224" s="1">
        <f t="shared" si="66"/>
        <v>0</v>
      </c>
      <c r="AH224" s="1">
        <f t="shared" si="67"/>
        <v>0</v>
      </c>
      <c r="AI224" s="5">
        <f t="shared" si="68"/>
        <v>0.57808219178082187</v>
      </c>
      <c r="AJ224" s="5">
        <f t="shared" si="69"/>
        <v>0.52371759514616656</v>
      </c>
      <c r="AK224" s="5">
        <f t="shared" si="70"/>
        <v>10.474351902923331</v>
      </c>
      <c r="AL224" s="5">
        <f t="shared" si="71"/>
        <v>26.185879757308328</v>
      </c>
      <c r="AM224" s="5">
        <f t="shared" si="72"/>
        <v>13.092939878654164</v>
      </c>
      <c r="AN224" s="5">
        <f t="shared" si="73"/>
        <v>39.278819635962492</v>
      </c>
      <c r="AO224" s="1" t="s">
        <v>102</v>
      </c>
    </row>
    <row r="225" spans="1:41" x14ac:dyDescent="0.25">
      <c r="A225" s="1" t="s">
        <v>19</v>
      </c>
      <c r="B225" s="1" t="s">
        <v>31</v>
      </c>
      <c r="C225" s="1" t="s">
        <v>21</v>
      </c>
      <c r="D225" s="1" t="s">
        <v>32</v>
      </c>
      <c r="E225" s="1" t="s">
        <v>96</v>
      </c>
      <c r="F225" s="1" t="s">
        <v>103</v>
      </c>
      <c r="G225" s="1" t="s">
        <v>98</v>
      </c>
      <c r="H225" s="1" t="s">
        <v>355</v>
      </c>
      <c r="I225" s="1" t="s">
        <v>105</v>
      </c>
      <c r="J225" s="1" t="s">
        <v>106</v>
      </c>
      <c r="L225" s="1">
        <v>2569603</v>
      </c>
      <c r="M225" s="1" t="s">
        <v>398</v>
      </c>
      <c r="N225" s="8">
        <f t="shared" ref="N225:N230" si="75">DATE(2019,2,18)</f>
        <v>43514</v>
      </c>
      <c r="O225" s="8">
        <f>DATE(2023,12,21)</f>
        <v>45281</v>
      </c>
      <c r="P225" s="1">
        <v>4590</v>
      </c>
      <c r="Q225" s="1">
        <v>3600</v>
      </c>
      <c r="R225" s="1">
        <f t="shared" si="56"/>
        <v>3600</v>
      </c>
      <c r="S225" s="1">
        <v>2.5</v>
      </c>
      <c r="U225" s="1">
        <f t="shared" si="57"/>
        <v>1768</v>
      </c>
      <c r="V225" s="7">
        <f t="shared" si="58"/>
        <v>2.0361990950226243</v>
      </c>
      <c r="W225" s="7">
        <f t="shared" si="59"/>
        <v>743.2126696832579</v>
      </c>
      <c r="X225" s="7">
        <f t="shared" si="60"/>
        <v>0.92901583710407243</v>
      </c>
      <c r="AA225" s="8">
        <f t="shared" si="61"/>
        <v>44927</v>
      </c>
      <c r="AB225" s="8">
        <f t="shared" si="62"/>
        <v>45291</v>
      </c>
      <c r="AC225" s="1">
        <v>27</v>
      </c>
      <c r="AD225" s="1">
        <f t="shared" si="63"/>
        <v>0</v>
      </c>
      <c r="AE225" s="1">
        <f t="shared" si="64"/>
        <v>0</v>
      </c>
      <c r="AF225" s="1">
        <f t="shared" si="65"/>
        <v>355</v>
      </c>
      <c r="AG225" s="1">
        <f t="shared" si="66"/>
        <v>0</v>
      </c>
      <c r="AH225" s="1">
        <f t="shared" si="67"/>
        <v>0</v>
      </c>
      <c r="AI225" s="5">
        <f t="shared" si="68"/>
        <v>0.9726027397260274</v>
      </c>
      <c r="AJ225" s="5">
        <f t="shared" si="69"/>
        <v>0.9035633484162896</v>
      </c>
      <c r="AK225" s="5">
        <f t="shared" si="70"/>
        <v>24.39621040723982</v>
      </c>
      <c r="AL225" s="5">
        <f t="shared" si="71"/>
        <v>60.990526018099551</v>
      </c>
      <c r="AM225" s="5">
        <f t="shared" si="72"/>
        <v>30.495263009049776</v>
      </c>
      <c r="AN225" s="5">
        <f t="shared" si="73"/>
        <v>91.485789027149323</v>
      </c>
      <c r="AO225" s="1" t="s">
        <v>102</v>
      </c>
    </row>
    <row r="226" spans="1:41" x14ac:dyDescent="0.25">
      <c r="A226" s="1" t="s">
        <v>19</v>
      </c>
      <c r="B226" s="1" t="s">
        <v>31</v>
      </c>
      <c r="C226" s="1" t="s">
        <v>21</v>
      </c>
      <c r="D226" s="1" t="s">
        <v>32</v>
      </c>
      <c r="E226" s="1" t="s">
        <v>96</v>
      </c>
      <c r="F226" s="1" t="s">
        <v>103</v>
      </c>
      <c r="G226" s="1" t="s">
        <v>127</v>
      </c>
      <c r="H226" s="1" t="s">
        <v>370</v>
      </c>
      <c r="I226" s="1" t="s">
        <v>100</v>
      </c>
      <c r="J226" s="1" t="s">
        <v>101</v>
      </c>
      <c r="L226" s="1">
        <v>2569651</v>
      </c>
      <c r="M226" s="1" t="s">
        <v>399</v>
      </c>
      <c r="N226" s="8">
        <f t="shared" si="75"/>
        <v>43514</v>
      </c>
      <c r="O226" s="8">
        <f>DATE(2021,7,30)</f>
        <v>44407</v>
      </c>
      <c r="P226" s="1">
        <v>1980</v>
      </c>
      <c r="Q226" s="1">
        <v>1600</v>
      </c>
      <c r="R226" s="1">
        <f t="shared" si="56"/>
        <v>1600</v>
      </c>
      <c r="S226" s="1">
        <v>1</v>
      </c>
      <c r="U226" s="1">
        <f t="shared" si="57"/>
        <v>894</v>
      </c>
      <c r="V226" s="7">
        <f t="shared" si="58"/>
        <v>1.7897091722595078</v>
      </c>
      <c r="W226" s="7">
        <f t="shared" si="59"/>
        <v>653.24384787472036</v>
      </c>
      <c r="X226" s="7">
        <f t="shared" si="60"/>
        <v>0.81655480984340045</v>
      </c>
      <c r="AA226" s="8">
        <f t="shared" si="61"/>
        <v>44927</v>
      </c>
      <c r="AB226" s="8">
        <f t="shared" si="62"/>
        <v>45291</v>
      </c>
      <c r="AC226" s="1">
        <v>12</v>
      </c>
      <c r="AD226" s="1">
        <f t="shared" si="63"/>
        <v>0</v>
      </c>
      <c r="AE226" s="1">
        <f t="shared" si="64"/>
        <v>0</v>
      </c>
      <c r="AF226" s="1">
        <f t="shared" si="65"/>
        <v>0</v>
      </c>
      <c r="AG226" s="1">
        <f t="shared" si="66"/>
        <v>0</v>
      </c>
      <c r="AH226" s="1">
        <f t="shared" si="67"/>
        <v>182.5</v>
      </c>
      <c r="AI226" s="5">
        <f t="shared" si="68"/>
        <v>0.5</v>
      </c>
      <c r="AJ226" s="5">
        <f t="shared" si="69"/>
        <v>0.40827740492170023</v>
      </c>
      <c r="AK226" s="5">
        <f t="shared" si="70"/>
        <v>2.4496644295302015</v>
      </c>
      <c r="AL226" s="5">
        <f t="shared" si="71"/>
        <v>2.4496644295302015</v>
      </c>
      <c r="AM226" s="5">
        <f t="shared" si="72"/>
        <v>0</v>
      </c>
      <c r="AN226" s="5">
        <f t="shared" si="73"/>
        <v>2.4496644295302015</v>
      </c>
      <c r="AO226" s="1" t="s">
        <v>102</v>
      </c>
    </row>
    <row r="227" spans="1:41" x14ac:dyDescent="0.25">
      <c r="A227" s="1" t="s">
        <v>19</v>
      </c>
      <c r="B227" s="1" t="s">
        <v>31</v>
      </c>
      <c r="C227" s="1" t="s">
        <v>21</v>
      </c>
      <c r="D227" s="1" t="s">
        <v>32</v>
      </c>
      <c r="E227" s="1" t="s">
        <v>96</v>
      </c>
      <c r="F227" s="1" t="s">
        <v>103</v>
      </c>
      <c r="G227" s="1" t="s">
        <v>127</v>
      </c>
      <c r="H227" s="1" t="s">
        <v>360</v>
      </c>
      <c r="I227" s="1" t="s">
        <v>255</v>
      </c>
      <c r="J227" s="1" t="s">
        <v>106</v>
      </c>
      <c r="L227" s="1">
        <v>2569652</v>
      </c>
      <c r="M227" s="1" t="s">
        <v>400</v>
      </c>
      <c r="N227" s="8">
        <f t="shared" si="75"/>
        <v>43514</v>
      </c>
      <c r="O227" s="8">
        <f>DATE(2021,12,21)</f>
        <v>44551</v>
      </c>
      <c r="P227" s="1">
        <v>2628</v>
      </c>
      <c r="Q227" s="1">
        <v>2400</v>
      </c>
      <c r="R227" s="1">
        <f t="shared" si="56"/>
        <v>2400</v>
      </c>
      <c r="S227" s="1">
        <v>2.5</v>
      </c>
      <c r="U227" s="1">
        <f t="shared" si="57"/>
        <v>1038</v>
      </c>
      <c r="V227" s="7">
        <f t="shared" si="58"/>
        <v>2.3121387283236996</v>
      </c>
      <c r="W227" s="7">
        <f t="shared" si="59"/>
        <v>843.93063583815035</v>
      </c>
      <c r="X227" s="7">
        <f t="shared" si="60"/>
        <v>1.054913294797688</v>
      </c>
      <c r="AA227" s="8">
        <f t="shared" si="61"/>
        <v>44927</v>
      </c>
      <c r="AB227" s="8">
        <f t="shared" si="62"/>
        <v>45291</v>
      </c>
      <c r="AC227" s="1">
        <v>20</v>
      </c>
      <c r="AD227" s="1">
        <f t="shared" si="63"/>
        <v>0</v>
      </c>
      <c r="AE227" s="1">
        <f t="shared" si="64"/>
        <v>0</v>
      </c>
      <c r="AF227" s="1">
        <f t="shared" si="65"/>
        <v>0</v>
      </c>
      <c r="AG227" s="1">
        <f t="shared" si="66"/>
        <v>0</v>
      </c>
      <c r="AH227" s="1">
        <f t="shared" si="67"/>
        <v>182.5</v>
      </c>
      <c r="AI227" s="5">
        <f t="shared" si="68"/>
        <v>0.5</v>
      </c>
      <c r="AJ227" s="5">
        <f t="shared" si="69"/>
        <v>0.52745664739884401</v>
      </c>
      <c r="AK227" s="5">
        <f t="shared" si="70"/>
        <v>5.2745664739884397</v>
      </c>
      <c r="AL227" s="5">
        <f t="shared" si="71"/>
        <v>13.186416184971099</v>
      </c>
      <c r="AM227" s="5">
        <f t="shared" si="72"/>
        <v>6.5932080924855496</v>
      </c>
      <c r="AN227" s="5">
        <f t="shared" si="73"/>
        <v>19.779624277456648</v>
      </c>
      <c r="AO227" s="1" t="s">
        <v>102</v>
      </c>
    </row>
    <row r="228" spans="1:41" x14ac:dyDescent="0.25">
      <c r="A228" s="1" t="s">
        <v>19</v>
      </c>
      <c r="B228" s="1" t="s">
        <v>31</v>
      </c>
      <c r="C228" s="1" t="s">
        <v>21</v>
      </c>
      <c r="D228" s="1" t="s">
        <v>32</v>
      </c>
      <c r="E228" s="1" t="s">
        <v>96</v>
      </c>
      <c r="F228" s="1" t="s">
        <v>103</v>
      </c>
      <c r="G228" s="1" t="s">
        <v>320</v>
      </c>
      <c r="H228" s="1" t="s">
        <v>353</v>
      </c>
      <c r="I228" s="1" t="s">
        <v>174</v>
      </c>
      <c r="J228" s="1" t="s">
        <v>101</v>
      </c>
      <c r="L228" s="1">
        <v>2569653</v>
      </c>
      <c r="M228" s="1" t="s">
        <v>401</v>
      </c>
      <c r="N228" s="8">
        <f t="shared" si="75"/>
        <v>43514</v>
      </c>
      <c r="O228" s="8">
        <f>DATE(2023,12,21)</f>
        <v>45281</v>
      </c>
      <c r="P228" s="1">
        <v>3400</v>
      </c>
      <c r="Q228" s="1">
        <v>3200</v>
      </c>
      <c r="R228" s="1">
        <f t="shared" si="56"/>
        <v>3200</v>
      </c>
      <c r="S228" s="1">
        <v>2.5</v>
      </c>
      <c r="U228" s="1">
        <f t="shared" si="57"/>
        <v>1768</v>
      </c>
      <c r="V228" s="7">
        <f t="shared" si="58"/>
        <v>1.8099547511312217</v>
      </c>
      <c r="W228" s="7">
        <f t="shared" si="59"/>
        <v>660.63348416289591</v>
      </c>
      <c r="X228" s="7">
        <f t="shared" si="60"/>
        <v>0.82579185520361986</v>
      </c>
      <c r="AA228" s="8">
        <f t="shared" si="61"/>
        <v>44927</v>
      </c>
      <c r="AB228" s="8">
        <f t="shared" si="62"/>
        <v>45291</v>
      </c>
      <c r="AC228" s="1">
        <v>7</v>
      </c>
      <c r="AD228" s="1">
        <f t="shared" si="63"/>
        <v>0</v>
      </c>
      <c r="AE228" s="1">
        <f t="shared" si="64"/>
        <v>0</v>
      </c>
      <c r="AF228" s="1">
        <f t="shared" si="65"/>
        <v>355</v>
      </c>
      <c r="AG228" s="1">
        <f t="shared" si="66"/>
        <v>0</v>
      </c>
      <c r="AH228" s="1">
        <f t="shared" si="67"/>
        <v>0</v>
      </c>
      <c r="AI228" s="5">
        <f t="shared" si="68"/>
        <v>0.9726027397260274</v>
      </c>
      <c r="AJ228" s="5">
        <f t="shared" si="69"/>
        <v>0.80316742081447956</v>
      </c>
      <c r="AK228" s="5">
        <f t="shared" si="70"/>
        <v>5.622171945701357</v>
      </c>
      <c r="AL228" s="5">
        <f t="shared" si="71"/>
        <v>14.055429864253393</v>
      </c>
      <c r="AM228" s="5">
        <f t="shared" si="72"/>
        <v>0</v>
      </c>
      <c r="AN228" s="5">
        <f t="shared" si="73"/>
        <v>14.055429864253393</v>
      </c>
      <c r="AO228" s="1" t="s">
        <v>102</v>
      </c>
    </row>
    <row r="229" spans="1:41" x14ac:dyDescent="0.25">
      <c r="A229" s="1" t="s">
        <v>19</v>
      </c>
      <c r="B229" s="1" t="s">
        <v>31</v>
      </c>
      <c r="C229" s="1" t="s">
        <v>21</v>
      </c>
      <c r="D229" s="1" t="s">
        <v>32</v>
      </c>
      <c r="E229" s="1" t="s">
        <v>96</v>
      </c>
      <c r="F229" s="1" t="s">
        <v>103</v>
      </c>
      <c r="G229" s="1" t="s">
        <v>114</v>
      </c>
      <c r="H229" s="1" t="s">
        <v>249</v>
      </c>
      <c r="I229" s="1" t="s">
        <v>162</v>
      </c>
      <c r="J229" s="1" t="s">
        <v>101</v>
      </c>
      <c r="K229" s="1" t="s">
        <v>116</v>
      </c>
      <c r="L229" s="1">
        <v>2569655</v>
      </c>
      <c r="M229" s="1" t="s">
        <v>402</v>
      </c>
      <c r="N229" s="8">
        <f t="shared" si="75"/>
        <v>43514</v>
      </c>
      <c r="O229" s="8">
        <f>DATE(2021,12,21)</f>
        <v>44551</v>
      </c>
      <c r="P229" s="1">
        <v>4176</v>
      </c>
      <c r="Q229" s="1">
        <v>1000</v>
      </c>
      <c r="R229" s="1">
        <f t="shared" si="56"/>
        <v>3100</v>
      </c>
      <c r="S229" s="1">
        <v>1.5</v>
      </c>
      <c r="U229" s="1">
        <f t="shared" si="57"/>
        <v>1038</v>
      </c>
      <c r="V229" s="7">
        <f t="shared" si="58"/>
        <v>2.9865125240847785</v>
      </c>
      <c r="W229" s="7">
        <f t="shared" si="59"/>
        <v>1090.0770712909441</v>
      </c>
      <c r="X229" s="7">
        <f t="shared" si="60"/>
        <v>1.3625963391136802</v>
      </c>
      <c r="AA229" s="8">
        <f t="shared" si="61"/>
        <v>44927</v>
      </c>
      <c r="AB229" s="8">
        <f t="shared" si="62"/>
        <v>45291</v>
      </c>
      <c r="AC229" s="1">
        <v>3</v>
      </c>
      <c r="AD229" s="1">
        <f t="shared" si="63"/>
        <v>0</v>
      </c>
      <c r="AE229" s="1">
        <f t="shared" si="64"/>
        <v>0</v>
      </c>
      <c r="AF229" s="1">
        <f t="shared" si="65"/>
        <v>0</v>
      </c>
      <c r="AG229" s="1">
        <f t="shared" si="66"/>
        <v>0</v>
      </c>
      <c r="AH229" s="1">
        <f t="shared" si="67"/>
        <v>182.5</v>
      </c>
      <c r="AI229" s="5">
        <f t="shared" si="68"/>
        <v>0.5</v>
      </c>
      <c r="AJ229" s="5">
        <f t="shared" si="69"/>
        <v>0.68129816955684008</v>
      </c>
      <c r="AK229" s="5">
        <f t="shared" si="70"/>
        <v>1.0219472543352601</v>
      </c>
      <c r="AL229" s="5">
        <f t="shared" si="71"/>
        <v>1.5329208815028901</v>
      </c>
      <c r="AM229" s="5">
        <f t="shared" si="72"/>
        <v>0</v>
      </c>
      <c r="AN229" s="5">
        <f t="shared" si="73"/>
        <v>1.5329208815028901</v>
      </c>
      <c r="AO229" s="1" t="s">
        <v>102</v>
      </c>
    </row>
    <row r="230" spans="1:41" x14ac:dyDescent="0.25">
      <c r="A230" s="1" t="s">
        <v>19</v>
      </c>
      <c r="B230" s="1" t="s">
        <v>31</v>
      </c>
      <c r="C230" s="1" t="s">
        <v>21</v>
      </c>
      <c r="D230" s="1" t="s">
        <v>32</v>
      </c>
      <c r="E230" s="1" t="s">
        <v>96</v>
      </c>
      <c r="F230" s="1" t="s">
        <v>103</v>
      </c>
      <c r="G230" s="1" t="s">
        <v>114</v>
      </c>
      <c r="H230" s="1" t="s">
        <v>119</v>
      </c>
      <c r="I230" s="1" t="s">
        <v>105</v>
      </c>
      <c r="J230" s="1" t="s">
        <v>106</v>
      </c>
      <c r="K230" s="1" t="s">
        <v>116</v>
      </c>
      <c r="L230" s="1">
        <v>2569657</v>
      </c>
      <c r="M230" s="1" t="s">
        <v>403</v>
      </c>
      <c r="N230" s="8">
        <f t="shared" si="75"/>
        <v>43514</v>
      </c>
      <c r="O230" s="8">
        <f>DATE(2021,12,21)</f>
        <v>44551</v>
      </c>
      <c r="P230" s="1">
        <v>4176</v>
      </c>
      <c r="Q230" s="1">
        <v>1200</v>
      </c>
      <c r="R230" s="1">
        <f t="shared" si="56"/>
        <v>3200</v>
      </c>
      <c r="S230" s="1">
        <v>2.5</v>
      </c>
      <c r="U230" s="1">
        <f t="shared" si="57"/>
        <v>1038</v>
      </c>
      <c r="V230" s="7">
        <f t="shared" si="58"/>
        <v>3.0828516377649327</v>
      </c>
      <c r="W230" s="7">
        <f t="shared" si="59"/>
        <v>1125.2408477842005</v>
      </c>
      <c r="X230" s="7">
        <f t="shared" si="60"/>
        <v>1.4065510597302506</v>
      </c>
      <c r="AA230" s="8">
        <f t="shared" si="61"/>
        <v>44927</v>
      </c>
      <c r="AB230" s="8">
        <f t="shared" si="62"/>
        <v>45291</v>
      </c>
      <c r="AC230" s="1">
        <v>4</v>
      </c>
      <c r="AD230" s="1">
        <f t="shared" si="63"/>
        <v>0</v>
      </c>
      <c r="AE230" s="1">
        <f t="shared" si="64"/>
        <v>0</v>
      </c>
      <c r="AF230" s="1">
        <f t="shared" si="65"/>
        <v>0</v>
      </c>
      <c r="AG230" s="1">
        <f t="shared" si="66"/>
        <v>0</v>
      </c>
      <c r="AH230" s="1">
        <f t="shared" si="67"/>
        <v>182.5</v>
      </c>
      <c r="AI230" s="5">
        <f t="shared" si="68"/>
        <v>0.5</v>
      </c>
      <c r="AJ230" s="5">
        <f t="shared" si="69"/>
        <v>0.70327552986512532</v>
      </c>
      <c r="AK230" s="5">
        <f t="shared" si="70"/>
        <v>1.4065510597302506</v>
      </c>
      <c r="AL230" s="5">
        <f t="shared" si="71"/>
        <v>3.5163776493256265</v>
      </c>
      <c r="AM230" s="5">
        <f t="shared" si="72"/>
        <v>1.7581888246628132</v>
      </c>
      <c r="AN230" s="5">
        <f t="shared" si="73"/>
        <v>5.2745664739884397</v>
      </c>
      <c r="AO230" s="1" t="s">
        <v>102</v>
      </c>
    </row>
    <row r="231" spans="1:41" x14ac:dyDescent="0.25">
      <c r="A231" s="1" t="s">
        <v>19</v>
      </c>
      <c r="B231" s="1" t="s">
        <v>31</v>
      </c>
      <c r="C231" s="1" t="s">
        <v>21</v>
      </c>
      <c r="D231" s="1" t="s">
        <v>32</v>
      </c>
      <c r="E231" s="1" t="s">
        <v>96</v>
      </c>
      <c r="F231" s="1" t="s">
        <v>103</v>
      </c>
      <c r="G231" s="1" t="s">
        <v>98</v>
      </c>
      <c r="H231" s="1" t="s">
        <v>355</v>
      </c>
      <c r="I231" s="1" t="s">
        <v>105</v>
      </c>
      <c r="J231" s="1" t="s">
        <v>106</v>
      </c>
      <c r="L231" s="1">
        <v>2621562</v>
      </c>
      <c r="M231" s="1" t="s">
        <v>404</v>
      </c>
      <c r="N231" s="8">
        <f>DATE(2019,7,28)</f>
        <v>43674</v>
      </c>
      <c r="O231" s="8">
        <f>DATE(2023,7,30)</f>
        <v>45137</v>
      </c>
      <c r="P231" s="1">
        <v>4590</v>
      </c>
      <c r="Q231" s="1">
        <v>3600</v>
      </c>
      <c r="R231" s="1">
        <f t="shared" si="56"/>
        <v>3600</v>
      </c>
      <c r="S231" s="1">
        <v>2.5</v>
      </c>
      <c r="U231" s="1">
        <f t="shared" si="57"/>
        <v>1464</v>
      </c>
      <c r="V231" s="7">
        <f t="shared" si="58"/>
        <v>2.459016393442623</v>
      </c>
      <c r="W231" s="7">
        <f t="shared" si="59"/>
        <v>897.54098360655735</v>
      </c>
      <c r="X231" s="7">
        <f t="shared" si="60"/>
        <v>1.1219262295081966</v>
      </c>
      <c r="AA231" s="8">
        <f t="shared" si="61"/>
        <v>44927</v>
      </c>
      <c r="AB231" s="8">
        <f t="shared" si="62"/>
        <v>45291</v>
      </c>
      <c r="AC231" s="1">
        <v>28</v>
      </c>
      <c r="AD231" s="1">
        <f t="shared" si="63"/>
        <v>0</v>
      </c>
      <c r="AE231" s="1">
        <f t="shared" si="64"/>
        <v>0</v>
      </c>
      <c r="AF231" s="1">
        <f t="shared" si="65"/>
        <v>211</v>
      </c>
      <c r="AG231" s="1">
        <f t="shared" si="66"/>
        <v>0</v>
      </c>
      <c r="AH231" s="1">
        <f t="shared" si="67"/>
        <v>0</v>
      </c>
      <c r="AI231" s="5">
        <f t="shared" si="68"/>
        <v>0.57808219178082187</v>
      </c>
      <c r="AJ231" s="5">
        <f t="shared" si="69"/>
        <v>0.64856557377049173</v>
      </c>
      <c r="AK231" s="5">
        <f t="shared" si="70"/>
        <v>18.159836065573767</v>
      </c>
      <c r="AL231" s="5">
        <f t="shared" si="71"/>
        <v>45.39959016393442</v>
      </c>
      <c r="AM231" s="5">
        <f t="shared" si="72"/>
        <v>22.69979508196721</v>
      </c>
      <c r="AN231" s="5">
        <f t="shared" si="73"/>
        <v>68.09938524590163</v>
      </c>
      <c r="AO231" s="1" t="s">
        <v>102</v>
      </c>
    </row>
    <row r="232" spans="1:41" x14ac:dyDescent="0.25">
      <c r="A232" s="1" t="s">
        <v>19</v>
      </c>
      <c r="B232" s="1" t="s">
        <v>31</v>
      </c>
      <c r="C232" s="1" t="s">
        <v>21</v>
      </c>
      <c r="D232" s="1" t="s">
        <v>32</v>
      </c>
      <c r="E232" s="1" t="s">
        <v>96</v>
      </c>
      <c r="F232" s="1" t="s">
        <v>103</v>
      </c>
      <c r="G232" s="1" t="s">
        <v>320</v>
      </c>
      <c r="H232" s="1" t="s">
        <v>353</v>
      </c>
      <c r="I232" s="1" t="s">
        <v>174</v>
      </c>
      <c r="J232" s="1" t="s">
        <v>101</v>
      </c>
      <c r="L232" s="1">
        <v>2677656</v>
      </c>
      <c r="M232" s="1" t="s">
        <v>405</v>
      </c>
      <c r="N232" s="8">
        <f>DATE(2020,2,2)</f>
        <v>43863</v>
      </c>
      <c r="O232" s="8">
        <f>DATE(2024,2,2)</f>
        <v>45324</v>
      </c>
      <c r="P232" s="1">
        <v>3400</v>
      </c>
      <c r="Q232" s="1">
        <v>3200</v>
      </c>
      <c r="R232" s="1">
        <f t="shared" si="56"/>
        <v>3200</v>
      </c>
      <c r="S232" s="1">
        <v>2.5</v>
      </c>
      <c r="U232" s="1">
        <f t="shared" si="57"/>
        <v>1462</v>
      </c>
      <c r="V232" s="7">
        <f t="shared" si="58"/>
        <v>2.188782489740082</v>
      </c>
      <c r="W232" s="7">
        <f t="shared" si="59"/>
        <v>798.90560875512995</v>
      </c>
      <c r="X232" s="7">
        <f t="shared" si="60"/>
        <v>0.99863201094391241</v>
      </c>
      <c r="AA232" s="8">
        <f t="shared" si="61"/>
        <v>44927</v>
      </c>
      <c r="AB232" s="8">
        <f t="shared" si="62"/>
        <v>45291</v>
      </c>
      <c r="AC232" s="1">
        <v>10</v>
      </c>
      <c r="AD232" s="1">
        <f t="shared" si="63"/>
        <v>365</v>
      </c>
      <c r="AE232" s="1">
        <f t="shared" si="64"/>
        <v>0</v>
      </c>
      <c r="AF232" s="1">
        <f t="shared" si="65"/>
        <v>0</v>
      </c>
      <c r="AG232" s="1">
        <f t="shared" si="66"/>
        <v>0</v>
      </c>
      <c r="AH232" s="1">
        <f t="shared" si="67"/>
        <v>0</v>
      </c>
      <c r="AI232" s="5">
        <f t="shared" si="68"/>
        <v>1</v>
      </c>
      <c r="AJ232" s="5">
        <f t="shared" si="69"/>
        <v>0.99863201094391241</v>
      </c>
      <c r="AK232" s="5">
        <f t="shared" si="70"/>
        <v>9.9863201094391236</v>
      </c>
      <c r="AL232" s="5">
        <f t="shared" si="71"/>
        <v>24.965800273597807</v>
      </c>
      <c r="AM232" s="5">
        <f t="shared" si="72"/>
        <v>0</v>
      </c>
      <c r="AN232" s="5">
        <f t="shared" si="73"/>
        <v>24.965800273597807</v>
      </c>
      <c r="AO232" s="1" t="s">
        <v>102</v>
      </c>
    </row>
    <row r="233" spans="1:41" x14ac:dyDescent="0.25">
      <c r="A233" s="1" t="s">
        <v>19</v>
      </c>
      <c r="B233" s="1" t="s">
        <v>31</v>
      </c>
      <c r="C233" s="1" t="s">
        <v>21</v>
      </c>
      <c r="D233" s="1" t="s">
        <v>32</v>
      </c>
      <c r="E233" s="1" t="s">
        <v>96</v>
      </c>
      <c r="F233" s="1" t="s">
        <v>103</v>
      </c>
      <c r="G233" s="1" t="s">
        <v>98</v>
      </c>
      <c r="H233" s="1" t="s">
        <v>355</v>
      </c>
      <c r="I233" s="1" t="s">
        <v>105</v>
      </c>
      <c r="J233" s="1" t="s">
        <v>106</v>
      </c>
      <c r="L233" s="1">
        <v>2677653</v>
      </c>
      <c r="M233" s="1" t="s">
        <v>406</v>
      </c>
      <c r="N233" s="8">
        <f>DATE(2020,2,3)</f>
        <v>43864</v>
      </c>
      <c r="O233" s="8">
        <f>DATE(2024,12,18)</f>
        <v>45644</v>
      </c>
      <c r="P233" s="1">
        <v>4607</v>
      </c>
      <c r="Q233" s="1">
        <v>3600</v>
      </c>
      <c r="R233" s="1">
        <f t="shared" si="56"/>
        <v>3600</v>
      </c>
      <c r="S233" s="1">
        <v>2.5</v>
      </c>
      <c r="U233" s="1">
        <f t="shared" si="57"/>
        <v>1781</v>
      </c>
      <c r="V233" s="7">
        <f t="shared" si="58"/>
        <v>2.0213363279056709</v>
      </c>
      <c r="W233" s="7">
        <f t="shared" si="59"/>
        <v>737.78775968556988</v>
      </c>
      <c r="X233" s="7">
        <f t="shared" si="60"/>
        <v>0.92223469960696236</v>
      </c>
      <c r="AA233" s="8">
        <f t="shared" si="61"/>
        <v>44927</v>
      </c>
      <c r="AB233" s="8">
        <f t="shared" si="62"/>
        <v>45291</v>
      </c>
      <c r="AC233" s="1">
        <v>29</v>
      </c>
      <c r="AD233" s="1">
        <f t="shared" si="63"/>
        <v>365</v>
      </c>
      <c r="AE233" s="1">
        <f t="shared" si="64"/>
        <v>0</v>
      </c>
      <c r="AF233" s="1">
        <f t="shared" si="65"/>
        <v>0</v>
      </c>
      <c r="AG233" s="1">
        <f t="shared" si="66"/>
        <v>0</v>
      </c>
      <c r="AH233" s="1">
        <f t="shared" si="67"/>
        <v>0</v>
      </c>
      <c r="AI233" s="5">
        <f t="shared" si="68"/>
        <v>1</v>
      </c>
      <c r="AJ233" s="5">
        <f t="shared" si="69"/>
        <v>0.92223469960696236</v>
      </c>
      <c r="AK233" s="5">
        <f t="shared" si="70"/>
        <v>26.744806288601907</v>
      </c>
      <c r="AL233" s="5">
        <f t="shared" si="71"/>
        <v>66.862015721504775</v>
      </c>
      <c r="AM233" s="5">
        <f t="shared" si="72"/>
        <v>33.431007860752388</v>
      </c>
      <c r="AN233" s="5">
        <f t="shared" si="73"/>
        <v>100.29302358225716</v>
      </c>
      <c r="AO233" s="1" t="s">
        <v>102</v>
      </c>
    </row>
    <row r="234" spans="1:41" x14ac:dyDescent="0.25">
      <c r="A234" s="1" t="s">
        <v>19</v>
      </c>
      <c r="B234" s="1" t="s">
        <v>31</v>
      </c>
      <c r="C234" s="1" t="s">
        <v>21</v>
      </c>
      <c r="D234" s="1" t="s">
        <v>32</v>
      </c>
      <c r="E234" s="1" t="s">
        <v>96</v>
      </c>
      <c r="F234" s="1" t="s">
        <v>103</v>
      </c>
      <c r="G234" s="1" t="s">
        <v>127</v>
      </c>
      <c r="H234" s="1" t="s">
        <v>370</v>
      </c>
      <c r="I234" s="1" t="s">
        <v>100</v>
      </c>
      <c r="J234" s="1" t="s">
        <v>101</v>
      </c>
      <c r="L234" s="1">
        <v>2677654</v>
      </c>
      <c r="M234" s="1" t="s">
        <v>407</v>
      </c>
      <c r="N234" s="8">
        <f>DATE(2020,2,3)</f>
        <v>43864</v>
      </c>
      <c r="O234" s="8">
        <f>DATE(2022,7,31)</f>
        <v>44773</v>
      </c>
      <c r="P234" s="1">
        <v>1980</v>
      </c>
      <c r="Q234" s="1">
        <v>1600</v>
      </c>
      <c r="R234" s="1">
        <f t="shared" si="56"/>
        <v>1600</v>
      </c>
      <c r="S234" s="1">
        <v>1</v>
      </c>
      <c r="U234" s="1">
        <f t="shared" si="57"/>
        <v>910</v>
      </c>
      <c r="V234" s="7">
        <f t="shared" si="58"/>
        <v>1.7582417582417582</v>
      </c>
      <c r="W234" s="7">
        <f t="shared" si="59"/>
        <v>641.75824175824175</v>
      </c>
      <c r="X234" s="7">
        <f t="shared" si="60"/>
        <v>0.80219780219780223</v>
      </c>
      <c r="AA234" s="8">
        <f t="shared" si="61"/>
        <v>44927</v>
      </c>
      <c r="AB234" s="8">
        <f t="shared" si="62"/>
        <v>45291</v>
      </c>
      <c r="AC234" s="1">
        <v>12</v>
      </c>
      <c r="AD234" s="1">
        <f t="shared" si="63"/>
        <v>0</v>
      </c>
      <c r="AE234" s="1">
        <f t="shared" si="64"/>
        <v>0</v>
      </c>
      <c r="AF234" s="1">
        <f t="shared" si="65"/>
        <v>0</v>
      </c>
      <c r="AG234" s="1">
        <f t="shared" si="66"/>
        <v>0</v>
      </c>
      <c r="AH234" s="1">
        <f t="shared" si="67"/>
        <v>182.5</v>
      </c>
      <c r="AI234" s="5">
        <f t="shared" si="68"/>
        <v>0.5</v>
      </c>
      <c r="AJ234" s="5">
        <f t="shared" si="69"/>
        <v>0.40109890109890112</v>
      </c>
      <c r="AK234" s="5">
        <f t="shared" si="70"/>
        <v>2.4065934065934069</v>
      </c>
      <c r="AL234" s="5">
        <f t="shared" si="71"/>
        <v>2.4065934065934069</v>
      </c>
      <c r="AM234" s="5">
        <f t="shared" si="72"/>
        <v>0</v>
      </c>
      <c r="AN234" s="5">
        <f t="shared" si="73"/>
        <v>2.4065934065934069</v>
      </c>
      <c r="AO234" s="1" t="s">
        <v>102</v>
      </c>
    </row>
    <row r="235" spans="1:41" x14ac:dyDescent="0.25">
      <c r="A235" s="1" t="s">
        <v>19</v>
      </c>
      <c r="B235" s="1" t="s">
        <v>31</v>
      </c>
      <c r="C235" s="1" t="s">
        <v>21</v>
      </c>
      <c r="D235" s="1" t="s">
        <v>32</v>
      </c>
      <c r="E235" s="1" t="s">
        <v>96</v>
      </c>
      <c r="F235" s="1" t="s">
        <v>103</v>
      </c>
      <c r="G235" s="1" t="s">
        <v>127</v>
      </c>
      <c r="H235" s="1" t="s">
        <v>360</v>
      </c>
      <c r="I235" s="1" t="s">
        <v>255</v>
      </c>
      <c r="J235" s="1" t="s">
        <v>106</v>
      </c>
      <c r="L235" s="1">
        <v>2677655</v>
      </c>
      <c r="M235" s="1" t="s">
        <v>408</v>
      </c>
      <c r="N235" s="8">
        <f>DATE(2020,2,3)</f>
        <v>43864</v>
      </c>
      <c r="O235" s="8">
        <f>DATE(2022,12,18)</f>
        <v>44913</v>
      </c>
      <c r="P235" s="1">
        <v>2868</v>
      </c>
      <c r="Q235" s="1">
        <v>2400</v>
      </c>
      <c r="R235" s="1">
        <f t="shared" si="56"/>
        <v>2400</v>
      </c>
      <c r="S235" s="1">
        <v>2.5</v>
      </c>
      <c r="U235" s="1">
        <f t="shared" si="57"/>
        <v>1050</v>
      </c>
      <c r="V235" s="7">
        <f t="shared" si="58"/>
        <v>2.2857142857142856</v>
      </c>
      <c r="W235" s="7">
        <f t="shared" si="59"/>
        <v>834.28571428571422</v>
      </c>
      <c r="X235" s="7">
        <f t="shared" si="60"/>
        <v>1.0428571428571427</v>
      </c>
      <c r="AA235" s="8">
        <f t="shared" si="61"/>
        <v>44927</v>
      </c>
      <c r="AB235" s="8">
        <f t="shared" si="62"/>
        <v>45291</v>
      </c>
      <c r="AC235" s="1">
        <v>20</v>
      </c>
      <c r="AD235" s="1">
        <f t="shared" si="63"/>
        <v>0</v>
      </c>
      <c r="AE235" s="1">
        <f t="shared" si="64"/>
        <v>0</v>
      </c>
      <c r="AF235" s="1">
        <f t="shared" si="65"/>
        <v>0</v>
      </c>
      <c r="AG235" s="1">
        <f t="shared" si="66"/>
        <v>0</v>
      </c>
      <c r="AH235" s="1">
        <f t="shared" si="67"/>
        <v>182.5</v>
      </c>
      <c r="AI235" s="5">
        <f t="shared" si="68"/>
        <v>0.5</v>
      </c>
      <c r="AJ235" s="5">
        <f t="shared" si="69"/>
        <v>0.52142857142857135</v>
      </c>
      <c r="AK235" s="5">
        <f t="shared" si="70"/>
        <v>5.2142857142857135</v>
      </c>
      <c r="AL235" s="5">
        <f t="shared" si="71"/>
        <v>13.035714285714285</v>
      </c>
      <c r="AM235" s="5">
        <f t="shared" si="72"/>
        <v>6.5178571428571423</v>
      </c>
      <c r="AN235" s="5">
        <f t="shared" si="73"/>
        <v>19.553571428571427</v>
      </c>
      <c r="AO235" s="1" t="s">
        <v>102</v>
      </c>
    </row>
    <row r="236" spans="1:41" x14ac:dyDescent="0.25">
      <c r="A236" s="1" t="s">
        <v>19</v>
      </c>
      <c r="B236" s="1" t="s">
        <v>31</v>
      </c>
      <c r="C236" s="1" t="s">
        <v>21</v>
      </c>
      <c r="D236" s="1" t="s">
        <v>32</v>
      </c>
      <c r="E236" s="1" t="s">
        <v>96</v>
      </c>
      <c r="F236" s="1" t="s">
        <v>103</v>
      </c>
      <c r="G236" s="1" t="s">
        <v>114</v>
      </c>
      <c r="H236" s="1" t="s">
        <v>249</v>
      </c>
      <c r="I236" s="1" t="s">
        <v>162</v>
      </c>
      <c r="J236" s="1" t="s">
        <v>101</v>
      </c>
      <c r="K236" s="1" t="s">
        <v>116</v>
      </c>
      <c r="L236" s="1">
        <v>2677657</v>
      </c>
      <c r="M236" s="1" t="s">
        <v>409</v>
      </c>
      <c r="N236" s="8">
        <f>DATE(2020,2,3)</f>
        <v>43864</v>
      </c>
      <c r="O236" s="8">
        <f>DATE(2022,12,18)</f>
        <v>44913</v>
      </c>
      <c r="P236" s="1">
        <v>4176</v>
      </c>
      <c r="Q236" s="1">
        <v>1000</v>
      </c>
      <c r="R236" s="1">
        <f t="shared" si="56"/>
        <v>3100</v>
      </c>
      <c r="S236" s="1">
        <v>1.5</v>
      </c>
      <c r="U236" s="1">
        <f t="shared" si="57"/>
        <v>1050</v>
      </c>
      <c r="V236" s="7">
        <f t="shared" si="58"/>
        <v>2.9523809523809526</v>
      </c>
      <c r="W236" s="7">
        <f t="shared" si="59"/>
        <v>1077.6190476190477</v>
      </c>
      <c r="X236" s="7">
        <f t="shared" si="60"/>
        <v>1.3470238095238096</v>
      </c>
      <c r="AA236" s="8">
        <f t="shared" si="61"/>
        <v>44927</v>
      </c>
      <c r="AB236" s="8">
        <f t="shared" si="62"/>
        <v>45291</v>
      </c>
      <c r="AC236" s="1">
        <v>11</v>
      </c>
      <c r="AD236" s="1">
        <f t="shared" si="63"/>
        <v>0</v>
      </c>
      <c r="AE236" s="1">
        <f t="shared" si="64"/>
        <v>0</v>
      </c>
      <c r="AF236" s="1">
        <f t="shared" si="65"/>
        <v>0</v>
      </c>
      <c r="AG236" s="1">
        <f t="shared" si="66"/>
        <v>0</v>
      </c>
      <c r="AH236" s="1">
        <f t="shared" si="67"/>
        <v>182.5</v>
      </c>
      <c r="AI236" s="5">
        <f t="shared" si="68"/>
        <v>0.5</v>
      </c>
      <c r="AJ236" s="5">
        <f t="shared" si="69"/>
        <v>0.67351190476190481</v>
      </c>
      <c r="AK236" s="5">
        <f t="shared" si="70"/>
        <v>3.7043154761904766</v>
      </c>
      <c r="AL236" s="5">
        <f t="shared" si="71"/>
        <v>5.5564732142857149</v>
      </c>
      <c r="AM236" s="5">
        <f t="shared" si="72"/>
        <v>0</v>
      </c>
      <c r="AN236" s="5">
        <f t="shared" si="73"/>
        <v>5.5564732142857149</v>
      </c>
      <c r="AO236" s="1" t="s">
        <v>102</v>
      </c>
    </row>
    <row r="237" spans="1:41" x14ac:dyDescent="0.25">
      <c r="A237" s="1" t="s">
        <v>19</v>
      </c>
      <c r="B237" s="1" t="s">
        <v>31</v>
      </c>
      <c r="C237" s="1" t="s">
        <v>21</v>
      </c>
      <c r="D237" s="1" t="s">
        <v>32</v>
      </c>
      <c r="E237" s="1" t="s">
        <v>96</v>
      </c>
      <c r="F237" s="1" t="s">
        <v>103</v>
      </c>
      <c r="G237" s="1" t="s">
        <v>114</v>
      </c>
      <c r="H237" s="1" t="s">
        <v>119</v>
      </c>
      <c r="I237" s="1" t="s">
        <v>105</v>
      </c>
      <c r="J237" s="1" t="s">
        <v>106</v>
      </c>
      <c r="K237" s="1" t="s">
        <v>116</v>
      </c>
      <c r="L237" s="1">
        <v>2679094</v>
      </c>
      <c r="M237" s="1" t="s">
        <v>138</v>
      </c>
      <c r="N237" s="8">
        <f>DATE(2020,2,3)</f>
        <v>43864</v>
      </c>
      <c r="O237" s="8">
        <f>DATE(2022,12,18)</f>
        <v>44913</v>
      </c>
      <c r="P237" s="1">
        <v>4278</v>
      </c>
      <c r="Q237" s="1">
        <v>1200</v>
      </c>
      <c r="R237" s="1">
        <f t="shared" si="56"/>
        <v>3200</v>
      </c>
      <c r="S237" s="1">
        <v>2.5</v>
      </c>
      <c r="U237" s="1">
        <f t="shared" si="57"/>
        <v>1050</v>
      </c>
      <c r="V237" s="7">
        <f t="shared" si="58"/>
        <v>3.0476190476190474</v>
      </c>
      <c r="W237" s="7">
        <f t="shared" si="59"/>
        <v>1112.3809523809523</v>
      </c>
      <c r="X237" s="7">
        <f t="shared" si="60"/>
        <v>1.3904761904761904</v>
      </c>
      <c r="AA237" s="8">
        <f t="shared" si="61"/>
        <v>44927</v>
      </c>
      <c r="AB237" s="8">
        <f t="shared" si="62"/>
        <v>45291</v>
      </c>
      <c r="AC237" s="1">
        <v>16</v>
      </c>
      <c r="AD237" s="1">
        <f t="shared" si="63"/>
        <v>0</v>
      </c>
      <c r="AE237" s="1">
        <f t="shared" si="64"/>
        <v>0</v>
      </c>
      <c r="AF237" s="1">
        <f t="shared" si="65"/>
        <v>0</v>
      </c>
      <c r="AG237" s="1">
        <f t="shared" si="66"/>
        <v>0</v>
      </c>
      <c r="AH237" s="1">
        <f t="shared" si="67"/>
        <v>182.5</v>
      </c>
      <c r="AI237" s="5">
        <f t="shared" si="68"/>
        <v>0.5</v>
      </c>
      <c r="AJ237" s="5">
        <f t="shared" si="69"/>
        <v>0.69523809523809521</v>
      </c>
      <c r="AK237" s="5">
        <f t="shared" si="70"/>
        <v>5.5619047619047617</v>
      </c>
      <c r="AL237" s="5">
        <f t="shared" si="71"/>
        <v>13.904761904761905</v>
      </c>
      <c r="AM237" s="5">
        <f t="shared" si="72"/>
        <v>6.9523809523809526</v>
      </c>
      <c r="AN237" s="5">
        <f t="shared" si="73"/>
        <v>20.857142857142858</v>
      </c>
      <c r="AO237" s="1" t="s">
        <v>102</v>
      </c>
    </row>
    <row r="238" spans="1:41" x14ac:dyDescent="0.25">
      <c r="A238" s="1" t="s">
        <v>19</v>
      </c>
      <c r="B238" s="1" t="s">
        <v>31</v>
      </c>
      <c r="C238" s="1" t="s">
        <v>21</v>
      </c>
      <c r="D238" s="1" t="s">
        <v>32</v>
      </c>
      <c r="E238" s="1" t="s">
        <v>96</v>
      </c>
      <c r="F238" s="1" t="s">
        <v>103</v>
      </c>
      <c r="G238" s="1" t="s">
        <v>98</v>
      </c>
      <c r="H238" s="1" t="s">
        <v>355</v>
      </c>
      <c r="I238" s="1" t="s">
        <v>105</v>
      </c>
      <c r="J238" s="1" t="s">
        <v>106</v>
      </c>
      <c r="L238" s="1">
        <v>2759536</v>
      </c>
      <c r="M238" s="1" t="s">
        <v>410</v>
      </c>
      <c r="N238" s="8">
        <f t="shared" ref="N238:N243" si="76">DATE(2021,4,12)</f>
        <v>44298</v>
      </c>
      <c r="O238" s="8">
        <f>DATE(2025,12,18)</f>
        <v>46009</v>
      </c>
      <c r="P238" s="1">
        <v>4607</v>
      </c>
      <c r="Q238" s="1">
        <v>3600</v>
      </c>
      <c r="R238" s="1">
        <f t="shared" si="56"/>
        <v>3600</v>
      </c>
      <c r="S238" s="1">
        <v>2.5</v>
      </c>
      <c r="U238" s="1">
        <f t="shared" si="57"/>
        <v>1712</v>
      </c>
      <c r="V238" s="7">
        <f t="shared" si="58"/>
        <v>2.1028037383177569</v>
      </c>
      <c r="W238" s="7">
        <f t="shared" si="59"/>
        <v>767.52336448598123</v>
      </c>
      <c r="X238" s="7">
        <f t="shared" si="60"/>
        <v>0.95940420560747652</v>
      </c>
      <c r="AA238" s="8">
        <f t="shared" si="61"/>
        <v>44927</v>
      </c>
      <c r="AB238" s="8">
        <f t="shared" si="62"/>
        <v>45291</v>
      </c>
      <c r="AC238" s="1">
        <v>28</v>
      </c>
      <c r="AD238" s="1">
        <f t="shared" si="63"/>
        <v>365</v>
      </c>
      <c r="AE238" s="1">
        <f t="shared" si="64"/>
        <v>0</v>
      </c>
      <c r="AF238" s="1">
        <f t="shared" si="65"/>
        <v>0</v>
      </c>
      <c r="AG238" s="1">
        <f t="shared" si="66"/>
        <v>0</v>
      </c>
      <c r="AH238" s="1">
        <f t="shared" si="67"/>
        <v>0</v>
      </c>
      <c r="AI238" s="5">
        <f t="shared" si="68"/>
        <v>1</v>
      </c>
      <c r="AJ238" s="5">
        <f t="shared" si="69"/>
        <v>0.95940420560747652</v>
      </c>
      <c r="AK238" s="5">
        <f t="shared" si="70"/>
        <v>26.863317757009341</v>
      </c>
      <c r="AL238" s="5">
        <f t="shared" si="71"/>
        <v>67.158294392523345</v>
      </c>
      <c r="AM238" s="5">
        <f t="shared" si="72"/>
        <v>33.579147196261673</v>
      </c>
      <c r="AN238" s="5">
        <f t="shared" si="73"/>
        <v>100.73744158878502</v>
      </c>
      <c r="AO238" s="1" t="s">
        <v>102</v>
      </c>
    </row>
    <row r="239" spans="1:41" x14ac:dyDescent="0.25">
      <c r="A239" s="1" t="s">
        <v>19</v>
      </c>
      <c r="B239" s="1" t="s">
        <v>31</v>
      </c>
      <c r="C239" s="1" t="s">
        <v>21</v>
      </c>
      <c r="D239" s="1" t="s">
        <v>32</v>
      </c>
      <c r="E239" s="1" t="s">
        <v>96</v>
      </c>
      <c r="F239" s="1" t="s">
        <v>103</v>
      </c>
      <c r="G239" s="1" t="s">
        <v>114</v>
      </c>
      <c r="H239" s="1" t="s">
        <v>249</v>
      </c>
      <c r="I239" s="1" t="s">
        <v>162</v>
      </c>
      <c r="J239" s="1" t="s">
        <v>101</v>
      </c>
      <c r="K239" s="1" t="s">
        <v>116</v>
      </c>
      <c r="L239" s="1">
        <v>2759537</v>
      </c>
      <c r="M239" s="1" t="s">
        <v>411</v>
      </c>
      <c r="N239" s="8">
        <f t="shared" si="76"/>
        <v>44298</v>
      </c>
      <c r="O239" s="8">
        <f>DATE(2023,12,18)</f>
        <v>45278</v>
      </c>
      <c r="P239" s="1">
        <v>4176</v>
      </c>
      <c r="Q239" s="1">
        <v>1000</v>
      </c>
      <c r="R239" s="1">
        <f t="shared" si="56"/>
        <v>3100</v>
      </c>
      <c r="S239" s="1">
        <v>1.5</v>
      </c>
      <c r="U239" s="1">
        <f t="shared" si="57"/>
        <v>981</v>
      </c>
      <c r="V239" s="7">
        <f t="shared" si="58"/>
        <v>3.1600407747196737</v>
      </c>
      <c r="W239" s="7">
        <f t="shared" si="59"/>
        <v>1153.4148827726808</v>
      </c>
      <c r="X239" s="7">
        <f t="shared" si="60"/>
        <v>1.441768603465851</v>
      </c>
      <c r="AA239" s="8">
        <f t="shared" si="61"/>
        <v>44927</v>
      </c>
      <c r="AB239" s="8">
        <f t="shared" si="62"/>
        <v>45291</v>
      </c>
      <c r="AC239" s="1">
        <v>28</v>
      </c>
      <c r="AD239" s="1">
        <f t="shared" si="63"/>
        <v>0</v>
      </c>
      <c r="AE239" s="1">
        <f t="shared" si="64"/>
        <v>0</v>
      </c>
      <c r="AF239" s="1">
        <f t="shared" si="65"/>
        <v>352</v>
      </c>
      <c r="AG239" s="1">
        <f t="shared" si="66"/>
        <v>0</v>
      </c>
      <c r="AH239" s="1">
        <f t="shared" si="67"/>
        <v>0</v>
      </c>
      <c r="AI239" s="5">
        <f t="shared" si="68"/>
        <v>0.96438356164383565</v>
      </c>
      <c r="AJ239" s="5">
        <f t="shared" si="69"/>
        <v>1.3904179408766564</v>
      </c>
      <c r="AK239" s="5">
        <f t="shared" si="70"/>
        <v>38.93170234454638</v>
      </c>
      <c r="AL239" s="5">
        <f t="shared" si="71"/>
        <v>58.397553516819571</v>
      </c>
      <c r="AM239" s="5">
        <f t="shared" si="72"/>
        <v>0</v>
      </c>
      <c r="AN239" s="5">
        <f t="shared" si="73"/>
        <v>58.397553516819571</v>
      </c>
      <c r="AO239" s="1" t="s">
        <v>102</v>
      </c>
    </row>
    <row r="240" spans="1:41" x14ac:dyDescent="0.25">
      <c r="A240" s="1" t="s">
        <v>19</v>
      </c>
      <c r="B240" s="1" t="s">
        <v>31</v>
      </c>
      <c r="C240" s="1" t="s">
        <v>21</v>
      </c>
      <c r="D240" s="1" t="s">
        <v>32</v>
      </c>
      <c r="E240" s="1" t="s">
        <v>96</v>
      </c>
      <c r="F240" s="1" t="s">
        <v>103</v>
      </c>
      <c r="G240" s="1" t="s">
        <v>320</v>
      </c>
      <c r="H240" s="1" t="s">
        <v>353</v>
      </c>
      <c r="I240" s="1" t="s">
        <v>174</v>
      </c>
      <c r="J240" s="1" t="s">
        <v>101</v>
      </c>
      <c r="L240" s="1">
        <v>2761286</v>
      </c>
      <c r="M240" s="1" t="s">
        <v>412</v>
      </c>
      <c r="N240" s="8">
        <f t="shared" si="76"/>
        <v>44298</v>
      </c>
      <c r="O240" s="8">
        <f>DATE(2025,6,21)</f>
        <v>45829</v>
      </c>
      <c r="P240" s="1">
        <v>3400</v>
      </c>
      <c r="Q240" s="1">
        <v>3200</v>
      </c>
      <c r="R240" s="1">
        <f t="shared" si="56"/>
        <v>3200</v>
      </c>
      <c r="S240" s="1">
        <v>2.5</v>
      </c>
      <c r="U240" s="1">
        <f t="shared" si="57"/>
        <v>1532</v>
      </c>
      <c r="V240" s="7">
        <f t="shared" si="58"/>
        <v>2.0887728459530028</v>
      </c>
      <c r="W240" s="7">
        <f t="shared" si="59"/>
        <v>762.40208877284601</v>
      </c>
      <c r="X240" s="7">
        <f t="shared" si="60"/>
        <v>0.95300261096605754</v>
      </c>
      <c r="AA240" s="8">
        <f t="shared" si="61"/>
        <v>44927</v>
      </c>
      <c r="AB240" s="8">
        <f t="shared" si="62"/>
        <v>45291</v>
      </c>
      <c r="AC240" s="1">
        <v>11</v>
      </c>
      <c r="AD240" s="1">
        <f t="shared" si="63"/>
        <v>365</v>
      </c>
      <c r="AE240" s="1">
        <f t="shared" si="64"/>
        <v>0</v>
      </c>
      <c r="AF240" s="1">
        <f t="shared" si="65"/>
        <v>0</v>
      </c>
      <c r="AG240" s="1">
        <f t="shared" si="66"/>
        <v>0</v>
      </c>
      <c r="AH240" s="1">
        <f t="shared" si="67"/>
        <v>0</v>
      </c>
      <c r="AI240" s="5">
        <f t="shared" si="68"/>
        <v>1</v>
      </c>
      <c r="AJ240" s="5">
        <f t="shared" si="69"/>
        <v>0.95300261096605754</v>
      </c>
      <c r="AK240" s="5">
        <f t="shared" si="70"/>
        <v>10.483028720626633</v>
      </c>
      <c r="AL240" s="5">
        <f t="shared" si="71"/>
        <v>26.207571801566584</v>
      </c>
      <c r="AM240" s="5">
        <f t="shared" si="72"/>
        <v>0</v>
      </c>
      <c r="AN240" s="5">
        <f t="shared" si="73"/>
        <v>26.207571801566584</v>
      </c>
      <c r="AO240" s="1" t="s">
        <v>102</v>
      </c>
    </row>
    <row r="241" spans="1:41" x14ac:dyDescent="0.25">
      <c r="A241" s="1" t="s">
        <v>19</v>
      </c>
      <c r="B241" s="1" t="s">
        <v>31</v>
      </c>
      <c r="C241" s="1" t="s">
        <v>21</v>
      </c>
      <c r="D241" s="1" t="s">
        <v>32</v>
      </c>
      <c r="E241" s="1" t="s">
        <v>96</v>
      </c>
      <c r="F241" s="1" t="s">
        <v>103</v>
      </c>
      <c r="G241" s="1" t="s">
        <v>127</v>
      </c>
      <c r="H241" s="1" t="s">
        <v>360</v>
      </c>
      <c r="I241" s="1" t="s">
        <v>255</v>
      </c>
      <c r="J241" s="1" t="s">
        <v>106</v>
      </c>
      <c r="L241" s="1">
        <v>2761293</v>
      </c>
      <c r="M241" s="1" t="s">
        <v>413</v>
      </c>
      <c r="N241" s="8">
        <f t="shared" si="76"/>
        <v>44298</v>
      </c>
      <c r="O241" s="8">
        <f>DATE(2023,12,18)</f>
        <v>45278</v>
      </c>
      <c r="P241" s="1">
        <v>2439</v>
      </c>
      <c r="Q241" s="1">
        <v>2400</v>
      </c>
      <c r="R241" s="1">
        <f t="shared" si="56"/>
        <v>2400</v>
      </c>
      <c r="S241" s="1">
        <v>2.5</v>
      </c>
      <c r="U241" s="1">
        <f t="shared" si="57"/>
        <v>981</v>
      </c>
      <c r="V241" s="7">
        <f t="shared" si="58"/>
        <v>2.4464831804281344</v>
      </c>
      <c r="W241" s="7">
        <f t="shared" si="59"/>
        <v>892.96636085626903</v>
      </c>
      <c r="X241" s="7">
        <f t="shared" si="60"/>
        <v>1.1162079510703362</v>
      </c>
      <c r="AA241" s="8">
        <f t="shared" si="61"/>
        <v>44927</v>
      </c>
      <c r="AB241" s="8">
        <f t="shared" si="62"/>
        <v>45291</v>
      </c>
      <c r="AC241" s="1">
        <v>19</v>
      </c>
      <c r="AD241" s="1">
        <f t="shared" si="63"/>
        <v>0</v>
      </c>
      <c r="AE241" s="1">
        <f t="shared" si="64"/>
        <v>0</v>
      </c>
      <c r="AF241" s="1">
        <f t="shared" si="65"/>
        <v>352</v>
      </c>
      <c r="AG241" s="1">
        <f t="shared" si="66"/>
        <v>0</v>
      </c>
      <c r="AH241" s="1">
        <f t="shared" si="67"/>
        <v>0</v>
      </c>
      <c r="AI241" s="5">
        <f t="shared" si="68"/>
        <v>0.96438356164383565</v>
      </c>
      <c r="AJ241" s="5">
        <f t="shared" si="69"/>
        <v>1.0764525993883791</v>
      </c>
      <c r="AK241" s="5">
        <f t="shared" si="70"/>
        <v>20.452599388379202</v>
      </c>
      <c r="AL241" s="5">
        <f t="shared" si="71"/>
        <v>51.131498470948003</v>
      </c>
      <c r="AM241" s="5">
        <f t="shared" si="72"/>
        <v>25.565749235474001</v>
      </c>
      <c r="AN241" s="5">
        <f t="shared" si="73"/>
        <v>76.697247706422004</v>
      </c>
      <c r="AO241" s="1" t="s">
        <v>102</v>
      </c>
    </row>
    <row r="242" spans="1:41" x14ac:dyDescent="0.25">
      <c r="A242" s="1" t="s">
        <v>19</v>
      </c>
      <c r="B242" s="1" t="s">
        <v>31</v>
      </c>
      <c r="C242" s="1" t="s">
        <v>21</v>
      </c>
      <c r="D242" s="1" t="s">
        <v>32</v>
      </c>
      <c r="E242" s="1" t="s">
        <v>96</v>
      </c>
      <c r="F242" s="1" t="s">
        <v>103</v>
      </c>
      <c r="G242" s="1" t="s">
        <v>127</v>
      </c>
      <c r="H242" s="1" t="s">
        <v>370</v>
      </c>
      <c r="I242" s="1" t="s">
        <v>100</v>
      </c>
      <c r="J242" s="1" t="s">
        <v>101</v>
      </c>
      <c r="L242" s="1">
        <v>2761295</v>
      </c>
      <c r="M242" s="1" t="s">
        <v>414</v>
      </c>
      <c r="N242" s="8">
        <f t="shared" si="76"/>
        <v>44298</v>
      </c>
      <c r="O242" s="8">
        <f>DATE(2023,6,21)</f>
        <v>45098</v>
      </c>
      <c r="P242" s="1">
        <v>1980</v>
      </c>
      <c r="Q242" s="1">
        <v>1600</v>
      </c>
      <c r="R242" s="1">
        <f t="shared" si="56"/>
        <v>1600</v>
      </c>
      <c r="S242" s="1">
        <v>1</v>
      </c>
      <c r="U242" s="1">
        <f t="shared" si="57"/>
        <v>801</v>
      </c>
      <c r="V242" s="7">
        <f t="shared" si="58"/>
        <v>1.9975031210986267</v>
      </c>
      <c r="W242" s="7">
        <f t="shared" si="59"/>
        <v>729.08863920099873</v>
      </c>
      <c r="X242" s="7">
        <f t="shared" si="60"/>
        <v>0.91136079900124844</v>
      </c>
      <c r="AA242" s="8">
        <f t="shared" si="61"/>
        <v>44927</v>
      </c>
      <c r="AB242" s="8">
        <f t="shared" si="62"/>
        <v>45291</v>
      </c>
      <c r="AC242" s="1">
        <v>14</v>
      </c>
      <c r="AD242" s="1">
        <f t="shared" si="63"/>
        <v>0</v>
      </c>
      <c r="AE242" s="1">
        <f t="shared" si="64"/>
        <v>0</v>
      </c>
      <c r="AF242" s="1">
        <f t="shared" si="65"/>
        <v>172</v>
      </c>
      <c r="AG242" s="1">
        <f t="shared" si="66"/>
        <v>0</v>
      </c>
      <c r="AH242" s="1">
        <f t="shared" si="67"/>
        <v>0</v>
      </c>
      <c r="AI242" s="5">
        <f t="shared" si="68"/>
        <v>0.47123287671232877</v>
      </c>
      <c r="AJ242" s="5">
        <f t="shared" si="69"/>
        <v>0.42946317103620474</v>
      </c>
      <c r="AK242" s="5">
        <f t="shared" si="70"/>
        <v>6.012484394506866</v>
      </c>
      <c r="AL242" s="5">
        <f t="shared" si="71"/>
        <v>6.012484394506866</v>
      </c>
      <c r="AM242" s="5">
        <f t="shared" si="72"/>
        <v>0</v>
      </c>
      <c r="AN242" s="5">
        <f t="shared" si="73"/>
        <v>6.012484394506866</v>
      </c>
      <c r="AO242" s="1" t="s">
        <v>102</v>
      </c>
    </row>
    <row r="243" spans="1:41" x14ac:dyDescent="0.25">
      <c r="A243" s="1" t="s">
        <v>19</v>
      </c>
      <c r="B243" s="1" t="s">
        <v>31</v>
      </c>
      <c r="C243" s="1" t="s">
        <v>21</v>
      </c>
      <c r="D243" s="1" t="s">
        <v>32</v>
      </c>
      <c r="E243" s="1" t="s">
        <v>96</v>
      </c>
      <c r="F243" s="1" t="s">
        <v>103</v>
      </c>
      <c r="G243" s="1" t="s">
        <v>114</v>
      </c>
      <c r="H243" s="1" t="s">
        <v>119</v>
      </c>
      <c r="I243" s="1" t="s">
        <v>105</v>
      </c>
      <c r="J243" s="1" t="s">
        <v>106</v>
      </c>
      <c r="K243" s="1" t="s">
        <v>116</v>
      </c>
      <c r="L243" s="1">
        <v>2761299</v>
      </c>
      <c r="M243" s="1" t="s">
        <v>415</v>
      </c>
      <c r="N243" s="8">
        <f t="shared" si="76"/>
        <v>44298</v>
      </c>
      <c r="O243" s="8">
        <f>DATE(2023,12,18)</f>
        <v>45278</v>
      </c>
      <c r="P243" s="1">
        <v>4278</v>
      </c>
      <c r="Q243" s="1">
        <v>1200</v>
      </c>
      <c r="R243" s="1">
        <f t="shared" si="56"/>
        <v>3200</v>
      </c>
      <c r="S243" s="1">
        <v>2.5</v>
      </c>
      <c r="U243" s="1">
        <f t="shared" si="57"/>
        <v>981</v>
      </c>
      <c r="V243" s="7">
        <f t="shared" si="58"/>
        <v>3.2619775739041792</v>
      </c>
      <c r="W243" s="7">
        <f t="shared" si="59"/>
        <v>1190.6218144750253</v>
      </c>
      <c r="X243" s="7">
        <f t="shared" si="60"/>
        <v>1.4882772680937817</v>
      </c>
      <c r="AA243" s="8">
        <f t="shared" si="61"/>
        <v>44927</v>
      </c>
      <c r="AB243" s="8">
        <f t="shared" si="62"/>
        <v>45291</v>
      </c>
      <c r="AC243" s="1">
        <v>69</v>
      </c>
      <c r="AD243" s="1">
        <f t="shared" si="63"/>
        <v>0</v>
      </c>
      <c r="AE243" s="1">
        <f t="shared" si="64"/>
        <v>0</v>
      </c>
      <c r="AF243" s="1">
        <f t="shared" si="65"/>
        <v>352</v>
      </c>
      <c r="AG243" s="1">
        <f t="shared" si="66"/>
        <v>0</v>
      </c>
      <c r="AH243" s="1">
        <f t="shared" si="67"/>
        <v>0</v>
      </c>
      <c r="AI243" s="5">
        <f t="shared" si="68"/>
        <v>0.96438356164383565</v>
      </c>
      <c r="AJ243" s="5">
        <f t="shared" si="69"/>
        <v>1.4352701325178387</v>
      </c>
      <c r="AK243" s="5">
        <f t="shared" si="70"/>
        <v>99.033639143730881</v>
      </c>
      <c r="AL243" s="5">
        <f t="shared" si="71"/>
        <v>247.58409785932719</v>
      </c>
      <c r="AM243" s="5">
        <f t="shared" si="72"/>
        <v>123.79204892966359</v>
      </c>
      <c r="AN243" s="5">
        <f t="shared" si="73"/>
        <v>371.37614678899081</v>
      </c>
      <c r="AO243" s="1" t="s">
        <v>102</v>
      </c>
    </row>
    <row r="244" spans="1:41" x14ac:dyDescent="0.25">
      <c r="A244" s="1" t="s">
        <v>19</v>
      </c>
      <c r="B244" s="1" t="s">
        <v>31</v>
      </c>
      <c r="C244" s="1" t="s">
        <v>21</v>
      </c>
      <c r="D244" s="1" t="s">
        <v>32</v>
      </c>
      <c r="E244" s="1" t="s">
        <v>96</v>
      </c>
      <c r="F244" s="1" t="s">
        <v>103</v>
      </c>
      <c r="G244" s="1" t="s">
        <v>114</v>
      </c>
      <c r="H244" s="1" t="s">
        <v>119</v>
      </c>
      <c r="I244" s="1" t="s">
        <v>105</v>
      </c>
      <c r="J244" s="1" t="s">
        <v>106</v>
      </c>
      <c r="K244" s="1" t="s">
        <v>175</v>
      </c>
      <c r="L244" s="1">
        <v>2909338</v>
      </c>
      <c r="M244" s="1" t="s">
        <v>416</v>
      </c>
      <c r="N244" s="8">
        <f>DATE(2021,4,14)</f>
        <v>44300</v>
      </c>
      <c r="O244" s="8">
        <f>DATE(2022,9,30)</f>
        <v>44834</v>
      </c>
      <c r="P244" s="1">
        <v>1367</v>
      </c>
      <c r="Q244" s="1">
        <v>1200</v>
      </c>
      <c r="R244" s="1">
        <f t="shared" si="56"/>
        <v>1200</v>
      </c>
      <c r="S244" s="1">
        <v>2.5</v>
      </c>
      <c r="U244" s="1">
        <f t="shared" si="57"/>
        <v>535</v>
      </c>
      <c r="V244" s="7">
        <f t="shared" si="58"/>
        <v>2.2429906542056073</v>
      </c>
      <c r="W244" s="7">
        <f t="shared" si="59"/>
        <v>818.69158878504663</v>
      </c>
      <c r="X244" s="7">
        <f t="shared" si="60"/>
        <v>1.0233644859813082</v>
      </c>
      <c r="AA244" s="8">
        <f t="shared" si="61"/>
        <v>44927</v>
      </c>
      <c r="AB244" s="8">
        <f t="shared" si="62"/>
        <v>45291</v>
      </c>
      <c r="AC244" s="1">
        <v>13</v>
      </c>
      <c r="AD244" s="1">
        <f t="shared" si="63"/>
        <v>0</v>
      </c>
      <c r="AE244" s="1">
        <f t="shared" si="64"/>
        <v>0</v>
      </c>
      <c r="AF244" s="1">
        <f t="shared" si="65"/>
        <v>0</v>
      </c>
      <c r="AG244" s="1">
        <f t="shared" si="66"/>
        <v>0</v>
      </c>
      <c r="AH244" s="1">
        <f t="shared" si="67"/>
        <v>182.5</v>
      </c>
      <c r="AI244" s="5">
        <f t="shared" si="68"/>
        <v>0.5</v>
      </c>
      <c r="AJ244" s="5">
        <f t="shared" si="69"/>
        <v>0.51168224299065412</v>
      </c>
      <c r="AK244" s="5">
        <f t="shared" si="70"/>
        <v>3.3259345794392519</v>
      </c>
      <c r="AL244" s="5">
        <f t="shared" si="71"/>
        <v>8.314836448598129</v>
      </c>
      <c r="AM244" s="5">
        <f t="shared" si="72"/>
        <v>4.1574182242990645</v>
      </c>
      <c r="AN244" s="5">
        <f t="shared" si="73"/>
        <v>12.472254672897193</v>
      </c>
      <c r="AO244" s="1" t="s">
        <v>102</v>
      </c>
    </row>
    <row r="245" spans="1:41" x14ac:dyDescent="0.25">
      <c r="A245" s="1" t="s">
        <v>19</v>
      </c>
      <c r="B245" s="1" t="s">
        <v>31</v>
      </c>
      <c r="C245" s="1" t="s">
        <v>21</v>
      </c>
      <c r="D245" s="1" t="s">
        <v>32</v>
      </c>
      <c r="E245" s="1" t="s">
        <v>96</v>
      </c>
      <c r="F245" s="1" t="s">
        <v>103</v>
      </c>
      <c r="G245" s="1" t="s">
        <v>98</v>
      </c>
      <c r="H245" s="1" t="s">
        <v>355</v>
      </c>
      <c r="I245" s="1" t="s">
        <v>105</v>
      </c>
      <c r="J245" s="1" t="s">
        <v>106</v>
      </c>
      <c r="L245" s="1">
        <v>2908418</v>
      </c>
      <c r="M245" s="1" t="s">
        <v>417</v>
      </c>
      <c r="N245" s="8">
        <f>DATE(2021,9,1)</f>
        <v>44440</v>
      </c>
      <c r="O245" s="8">
        <f>DATE(2026,9,30)</f>
        <v>46295</v>
      </c>
      <c r="P245" s="1">
        <v>4607</v>
      </c>
      <c r="Q245" s="1">
        <v>3600</v>
      </c>
      <c r="R245" s="1">
        <f t="shared" si="56"/>
        <v>3600</v>
      </c>
      <c r="S245" s="1">
        <v>2.5</v>
      </c>
      <c r="U245" s="1">
        <f t="shared" si="57"/>
        <v>1856</v>
      </c>
      <c r="V245" s="7">
        <f t="shared" si="58"/>
        <v>1.9396551724137931</v>
      </c>
      <c r="W245" s="7">
        <f t="shared" si="59"/>
        <v>707.97413793103453</v>
      </c>
      <c r="X245" s="7">
        <f t="shared" si="60"/>
        <v>0.88496767241379315</v>
      </c>
      <c r="AA245" s="8">
        <f t="shared" si="61"/>
        <v>44927</v>
      </c>
      <c r="AB245" s="8">
        <f t="shared" si="62"/>
        <v>45291</v>
      </c>
      <c r="AC245" s="1">
        <v>29</v>
      </c>
      <c r="AD245" s="1">
        <f t="shared" si="63"/>
        <v>365</v>
      </c>
      <c r="AE245" s="1">
        <f t="shared" si="64"/>
        <v>0</v>
      </c>
      <c r="AF245" s="1">
        <f t="shared" si="65"/>
        <v>0</v>
      </c>
      <c r="AG245" s="1">
        <f t="shared" si="66"/>
        <v>0</v>
      </c>
      <c r="AH245" s="1">
        <f t="shared" si="67"/>
        <v>0</v>
      </c>
      <c r="AI245" s="5">
        <f t="shared" si="68"/>
        <v>1</v>
      </c>
      <c r="AJ245" s="5">
        <f t="shared" si="69"/>
        <v>0.88496767241379315</v>
      </c>
      <c r="AK245" s="5">
        <f t="shared" si="70"/>
        <v>25.6640625</v>
      </c>
      <c r="AL245" s="5">
        <f t="shared" si="71"/>
        <v>64.16015625</v>
      </c>
      <c r="AM245" s="5">
        <f t="shared" si="72"/>
        <v>32.080078125</v>
      </c>
      <c r="AN245" s="5">
        <f t="shared" si="73"/>
        <v>96.240234375</v>
      </c>
      <c r="AO245" s="1" t="s">
        <v>102</v>
      </c>
    </row>
    <row r="246" spans="1:41" x14ac:dyDescent="0.25">
      <c r="A246" s="1" t="s">
        <v>19</v>
      </c>
      <c r="B246" s="1" t="s">
        <v>31</v>
      </c>
      <c r="C246" s="1" t="s">
        <v>21</v>
      </c>
      <c r="D246" s="1" t="s">
        <v>32</v>
      </c>
      <c r="E246" s="1" t="s">
        <v>96</v>
      </c>
      <c r="F246" s="1" t="s">
        <v>103</v>
      </c>
      <c r="G246" s="1" t="s">
        <v>155</v>
      </c>
      <c r="H246" s="1" t="s">
        <v>418</v>
      </c>
      <c r="I246" s="1" t="s">
        <v>174</v>
      </c>
      <c r="J246" s="1" t="s">
        <v>101</v>
      </c>
      <c r="L246" s="1">
        <v>2851765</v>
      </c>
      <c r="M246" s="1" t="s">
        <v>419</v>
      </c>
      <c r="N246" s="8">
        <f>DATE(2022,2,21)</f>
        <v>44613</v>
      </c>
      <c r="O246" s="8">
        <f>DATE(2022,12,21)</f>
        <v>44916</v>
      </c>
      <c r="P246" s="1">
        <v>160</v>
      </c>
      <c r="Q246" s="1">
        <v>160</v>
      </c>
      <c r="R246" s="1">
        <f t="shared" si="56"/>
        <v>160</v>
      </c>
      <c r="S246" s="1">
        <v>1</v>
      </c>
      <c r="U246" s="1">
        <f t="shared" si="57"/>
        <v>304</v>
      </c>
      <c r="V246" s="7">
        <f t="shared" si="58"/>
        <v>0.52631578947368418</v>
      </c>
      <c r="W246" s="7">
        <f t="shared" si="59"/>
        <v>160</v>
      </c>
      <c r="X246" s="7">
        <f t="shared" si="60"/>
        <v>0.2</v>
      </c>
      <c r="AA246" s="8">
        <f t="shared" si="61"/>
        <v>44927</v>
      </c>
      <c r="AB246" s="8">
        <f t="shared" si="62"/>
        <v>45291</v>
      </c>
      <c r="AC246" s="1">
        <v>28</v>
      </c>
      <c r="AD246" s="1">
        <f t="shared" si="63"/>
        <v>0</v>
      </c>
      <c r="AE246" s="1">
        <f t="shared" si="64"/>
        <v>0</v>
      </c>
      <c r="AF246" s="1">
        <f t="shared" si="65"/>
        <v>0</v>
      </c>
      <c r="AG246" s="1">
        <f t="shared" si="66"/>
        <v>0</v>
      </c>
      <c r="AH246" s="1">
        <f t="shared" si="67"/>
        <v>182.5</v>
      </c>
      <c r="AI246" s="5">
        <f t="shared" si="68"/>
        <v>0.60032894736842102</v>
      </c>
      <c r="AJ246" s="5">
        <f t="shared" si="69"/>
        <v>0.12006578947368421</v>
      </c>
      <c r="AK246" s="5">
        <f t="shared" si="70"/>
        <v>1.680921052631579</v>
      </c>
      <c r="AL246" s="5">
        <f t="shared" si="71"/>
        <v>1.680921052631579</v>
      </c>
      <c r="AM246" s="5">
        <f t="shared" si="72"/>
        <v>0</v>
      </c>
      <c r="AN246" s="5">
        <f t="shared" si="73"/>
        <v>1.680921052631579</v>
      </c>
      <c r="AO246" s="1" t="s">
        <v>102</v>
      </c>
    </row>
    <row r="247" spans="1:41" x14ac:dyDescent="0.25">
      <c r="A247" s="1" t="s">
        <v>19</v>
      </c>
      <c r="B247" s="1" t="s">
        <v>31</v>
      </c>
      <c r="C247" s="1" t="s">
        <v>21</v>
      </c>
      <c r="D247" s="1" t="s">
        <v>32</v>
      </c>
      <c r="E247" s="1" t="s">
        <v>96</v>
      </c>
      <c r="F247" s="1" t="s">
        <v>103</v>
      </c>
      <c r="G247" s="1" t="s">
        <v>114</v>
      </c>
      <c r="H247" s="1" t="s">
        <v>119</v>
      </c>
      <c r="I247" s="1" t="s">
        <v>105</v>
      </c>
      <c r="J247" s="1" t="s">
        <v>106</v>
      </c>
      <c r="K247" s="1" t="s">
        <v>116</v>
      </c>
      <c r="L247" s="1">
        <v>2840529</v>
      </c>
      <c r="M247" s="1" t="s">
        <v>420</v>
      </c>
      <c r="N247" s="8">
        <f>DATE(2022,3,7)</f>
        <v>44627</v>
      </c>
      <c r="O247" s="8">
        <f>DATE(2024,12,20)</f>
        <v>45646</v>
      </c>
      <c r="P247" s="1">
        <v>4278</v>
      </c>
      <c r="Q247" s="1">
        <v>1200</v>
      </c>
      <c r="R247" s="1">
        <f t="shared" si="56"/>
        <v>3200</v>
      </c>
      <c r="S247" s="1">
        <v>2.5</v>
      </c>
      <c r="U247" s="1">
        <f t="shared" si="57"/>
        <v>1020</v>
      </c>
      <c r="V247" s="7">
        <f t="shared" si="58"/>
        <v>3.1372549019607843</v>
      </c>
      <c r="W247" s="7">
        <f t="shared" si="59"/>
        <v>1145.0980392156862</v>
      </c>
      <c r="X247" s="7">
        <f t="shared" si="60"/>
        <v>1.4313725490196076</v>
      </c>
      <c r="AA247" s="8">
        <f t="shared" si="61"/>
        <v>44927</v>
      </c>
      <c r="AB247" s="8">
        <f t="shared" si="62"/>
        <v>45291</v>
      </c>
      <c r="AC247" s="1">
        <v>92</v>
      </c>
      <c r="AD247" s="1">
        <f t="shared" si="63"/>
        <v>365</v>
      </c>
      <c r="AE247" s="1">
        <f t="shared" si="64"/>
        <v>0</v>
      </c>
      <c r="AF247" s="1">
        <f t="shared" si="65"/>
        <v>0</v>
      </c>
      <c r="AG247" s="1">
        <f t="shared" si="66"/>
        <v>0</v>
      </c>
      <c r="AH247" s="1">
        <f t="shared" si="67"/>
        <v>0</v>
      </c>
      <c r="AI247" s="5">
        <f t="shared" si="68"/>
        <v>1</v>
      </c>
      <c r="AJ247" s="5">
        <f t="shared" si="69"/>
        <v>1.4313725490196076</v>
      </c>
      <c r="AK247" s="5">
        <f t="shared" si="70"/>
        <v>131.68627450980389</v>
      </c>
      <c r="AL247" s="5">
        <f t="shared" si="71"/>
        <v>329.21568627450972</v>
      </c>
      <c r="AM247" s="5">
        <f t="shared" si="72"/>
        <v>164.60784313725486</v>
      </c>
      <c r="AN247" s="5">
        <f t="shared" si="73"/>
        <v>493.82352941176458</v>
      </c>
      <c r="AO247" s="1" t="s">
        <v>102</v>
      </c>
    </row>
    <row r="248" spans="1:41" x14ac:dyDescent="0.25">
      <c r="A248" s="1" t="s">
        <v>19</v>
      </c>
      <c r="B248" s="1" t="s">
        <v>31</v>
      </c>
      <c r="C248" s="1" t="s">
        <v>21</v>
      </c>
      <c r="D248" s="1" t="s">
        <v>32</v>
      </c>
      <c r="E248" s="1" t="s">
        <v>96</v>
      </c>
      <c r="F248" s="1" t="s">
        <v>103</v>
      </c>
      <c r="G248" s="1" t="s">
        <v>114</v>
      </c>
      <c r="H248" s="1" t="s">
        <v>249</v>
      </c>
      <c r="I248" s="1" t="s">
        <v>162</v>
      </c>
      <c r="J248" s="1" t="s">
        <v>101</v>
      </c>
      <c r="K248" s="1" t="s">
        <v>116</v>
      </c>
      <c r="L248" s="1">
        <v>2840541</v>
      </c>
      <c r="M248" s="1" t="s">
        <v>421</v>
      </c>
      <c r="N248" s="8">
        <f>DATE(2022,3,7)</f>
        <v>44627</v>
      </c>
      <c r="O248" s="8">
        <f>DATE(2024,12,20)</f>
        <v>45646</v>
      </c>
      <c r="P248" s="1">
        <v>4176</v>
      </c>
      <c r="Q248" s="1">
        <v>1000</v>
      </c>
      <c r="R248" s="1">
        <f t="shared" si="56"/>
        <v>3100</v>
      </c>
      <c r="S248" s="1">
        <v>1.5</v>
      </c>
      <c r="U248" s="1">
        <f t="shared" si="57"/>
        <v>1020</v>
      </c>
      <c r="V248" s="7">
        <f t="shared" si="58"/>
        <v>3.0392156862745097</v>
      </c>
      <c r="W248" s="7">
        <f t="shared" si="59"/>
        <v>1109.313725490196</v>
      </c>
      <c r="X248" s="7">
        <f t="shared" si="60"/>
        <v>1.3866421568627449</v>
      </c>
      <c r="AA248" s="8">
        <f t="shared" si="61"/>
        <v>44927</v>
      </c>
      <c r="AB248" s="8">
        <f t="shared" si="62"/>
        <v>45291</v>
      </c>
      <c r="AC248" s="1">
        <v>30</v>
      </c>
      <c r="AD248" s="1">
        <f t="shared" si="63"/>
        <v>365</v>
      </c>
      <c r="AE248" s="1">
        <f t="shared" si="64"/>
        <v>0</v>
      </c>
      <c r="AF248" s="1">
        <f t="shared" si="65"/>
        <v>0</v>
      </c>
      <c r="AG248" s="1">
        <f t="shared" si="66"/>
        <v>0</v>
      </c>
      <c r="AH248" s="1">
        <f t="shared" si="67"/>
        <v>0</v>
      </c>
      <c r="AI248" s="5">
        <f t="shared" si="68"/>
        <v>1</v>
      </c>
      <c r="AJ248" s="5">
        <f t="shared" si="69"/>
        <v>1.3866421568627449</v>
      </c>
      <c r="AK248" s="5">
        <f t="shared" si="70"/>
        <v>41.599264705882348</v>
      </c>
      <c r="AL248" s="5">
        <f t="shared" si="71"/>
        <v>62.398897058823522</v>
      </c>
      <c r="AM248" s="5">
        <f t="shared" si="72"/>
        <v>0</v>
      </c>
      <c r="AN248" s="5">
        <f t="shared" si="73"/>
        <v>62.398897058823522</v>
      </c>
      <c r="AO248" s="1" t="s">
        <v>102</v>
      </c>
    </row>
    <row r="249" spans="1:41" x14ac:dyDescent="0.25">
      <c r="A249" s="1" t="s">
        <v>19</v>
      </c>
      <c r="B249" s="1" t="s">
        <v>31</v>
      </c>
      <c r="C249" s="1" t="s">
        <v>21</v>
      </c>
      <c r="D249" s="1" t="s">
        <v>32</v>
      </c>
      <c r="E249" s="1" t="s">
        <v>96</v>
      </c>
      <c r="F249" s="1" t="s">
        <v>103</v>
      </c>
      <c r="G249" s="1" t="s">
        <v>127</v>
      </c>
      <c r="H249" s="1" t="s">
        <v>360</v>
      </c>
      <c r="I249" s="1" t="s">
        <v>255</v>
      </c>
      <c r="J249" s="1" t="s">
        <v>106</v>
      </c>
      <c r="L249" s="1">
        <v>2841365</v>
      </c>
      <c r="M249" s="1" t="s">
        <v>422</v>
      </c>
      <c r="N249" s="8">
        <f>DATE(2022,3,7)</f>
        <v>44627</v>
      </c>
      <c r="O249" s="8">
        <f>DATE(2024,12,20)</f>
        <v>45646</v>
      </c>
      <c r="P249" s="1">
        <v>2439</v>
      </c>
      <c r="Q249" s="1">
        <v>2400</v>
      </c>
      <c r="R249" s="1">
        <f t="shared" si="56"/>
        <v>2400</v>
      </c>
      <c r="S249" s="1">
        <v>2.5</v>
      </c>
      <c r="U249" s="1">
        <f t="shared" si="57"/>
        <v>1020</v>
      </c>
      <c r="V249" s="7">
        <f t="shared" si="58"/>
        <v>2.3529411764705883</v>
      </c>
      <c r="W249" s="7">
        <f t="shared" si="59"/>
        <v>858.82352941176475</v>
      </c>
      <c r="X249" s="7">
        <f t="shared" si="60"/>
        <v>1.0735294117647058</v>
      </c>
      <c r="AA249" s="8">
        <f t="shared" si="61"/>
        <v>44927</v>
      </c>
      <c r="AB249" s="8">
        <f t="shared" si="62"/>
        <v>45291</v>
      </c>
      <c r="AC249" s="1">
        <v>29</v>
      </c>
      <c r="AD249" s="1">
        <f t="shared" si="63"/>
        <v>365</v>
      </c>
      <c r="AE249" s="1">
        <f t="shared" si="64"/>
        <v>0</v>
      </c>
      <c r="AF249" s="1">
        <f t="shared" si="65"/>
        <v>0</v>
      </c>
      <c r="AG249" s="1">
        <f t="shared" si="66"/>
        <v>0</v>
      </c>
      <c r="AH249" s="1">
        <f t="shared" si="67"/>
        <v>0</v>
      </c>
      <c r="AI249" s="5">
        <f t="shared" si="68"/>
        <v>1</v>
      </c>
      <c r="AJ249" s="5">
        <f t="shared" si="69"/>
        <v>1.0735294117647058</v>
      </c>
      <c r="AK249" s="5">
        <f t="shared" si="70"/>
        <v>31.132352941176471</v>
      </c>
      <c r="AL249" s="5">
        <f t="shared" si="71"/>
        <v>77.830882352941174</v>
      </c>
      <c r="AM249" s="5">
        <f t="shared" si="72"/>
        <v>38.915441176470587</v>
      </c>
      <c r="AN249" s="5">
        <f t="shared" si="73"/>
        <v>116.74632352941177</v>
      </c>
      <c r="AO249" s="1" t="s">
        <v>102</v>
      </c>
    </row>
    <row r="250" spans="1:41" x14ac:dyDescent="0.25">
      <c r="A250" s="1" t="s">
        <v>19</v>
      </c>
      <c r="B250" s="1" t="s">
        <v>31</v>
      </c>
      <c r="C250" s="1" t="s">
        <v>21</v>
      </c>
      <c r="D250" s="1" t="s">
        <v>32</v>
      </c>
      <c r="E250" s="1" t="s">
        <v>96</v>
      </c>
      <c r="F250" s="1" t="s">
        <v>103</v>
      </c>
      <c r="G250" s="1" t="s">
        <v>127</v>
      </c>
      <c r="H250" s="1" t="s">
        <v>370</v>
      </c>
      <c r="I250" s="1" t="s">
        <v>100</v>
      </c>
      <c r="J250" s="1" t="s">
        <v>101</v>
      </c>
      <c r="L250" s="1">
        <v>2841368</v>
      </c>
      <c r="M250" s="1" t="s">
        <v>423</v>
      </c>
      <c r="N250" s="8">
        <f>DATE(2022,3,7)</f>
        <v>44627</v>
      </c>
      <c r="O250" s="8">
        <f>DATE(2024,7,19)</f>
        <v>45492</v>
      </c>
      <c r="P250" s="1">
        <v>1980</v>
      </c>
      <c r="Q250" s="1">
        <v>1600</v>
      </c>
      <c r="R250" s="1">
        <f t="shared" si="56"/>
        <v>1600</v>
      </c>
      <c r="S250" s="1">
        <v>1</v>
      </c>
      <c r="U250" s="1">
        <f t="shared" si="57"/>
        <v>866</v>
      </c>
      <c r="V250" s="7">
        <f t="shared" si="58"/>
        <v>1.8475750577367205</v>
      </c>
      <c r="W250" s="7">
        <f t="shared" si="59"/>
        <v>674.36489607390297</v>
      </c>
      <c r="X250" s="7">
        <f t="shared" si="60"/>
        <v>0.84295612009237875</v>
      </c>
      <c r="AA250" s="8">
        <f t="shared" si="61"/>
        <v>44927</v>
      </c>
      <c r="AB250" s="8">
        <f t="shared" si="62"/>
        <v>45291</v>
      </c>
      <c r="AC250" s="1">
        <v>36</v>
      </c>
      <c r="AD250" s="1">
        <f t="shared" si="63"/>
        <v>365</v>
      </c>
      <c r="AE250" s="1">
        <f t="shared" si="64"/>
        <v>0</v>
      </c>
      <c r="AF250" s="1">
        <f t="shared" si="65"/>
        <v>0</v>
      </c>
      <c r="AG250" s="1">
        <f t="shared" si="66"/>
        <v>0</v>
      </c>
      <c r="AH250" s="1">
        <f t="shared" si="67"/>
        <v>0</v>
      </c>
      <c r="AI250" s="5">
        <f t="shared" si="68"/>
        <v>1</v>
      </c>
      <c r="AJ250" s="5">
        <f t="shared" si="69"/>
        <v>0.84295612009237875</v>
      </c>
      <c r="AK250" s="5">
        <f t="shared" si="70"/>
        <v>30.346420323325635</v>
      </c>
      <c r="AL250" s="5">
        <f t="shared" si="71"/>
        <v>30.346420323325635</v>
      </c>
      <c r="AM250" s="5">
        <f t="shared" si="72"/>
        <v>0</v>
      </c>
      <c r="AN250" s="5">
        <f t="shared" si="73"/>
        <v>30.346420323325635</v>
      </c>
      <c r="AO250" s="1" t="s">
        <v>102</v>
      </c>
    </row>
    <row r="251" spans="1:41" x14ac:dyDescent="0.25">
      <c r="A251" s="1" t="s">
        <v>19</v>
      </c>
      <c r="B251" s="1" t="s">
        <v>31</v>
      </c>
      <c r="C251" s="1" t="s">
        <v>21</v>
      </c>
      <c r="D251" s="1" t="s">
        <v>32</v>
      </c>
      <c r="E251" s="1" t="s">
        <v>96</v>
      </c>
      <c r="F251" s="1" t="s">
        <v>103</v>
      </c>
      <c r="G251" s="1" t="s">
        <v>98</v>
      </c>
      <c r="H251" s="1" t="s">
        <v>355</v>
      </c>
      <c r="I251" s="1" t="s">
        <v>105</v>
      </c>
      <c r="J251" s="1" t="s">
        <v>106</v>
      </c>
      <c r="L251" s="1">
        <v>2841379</v>
      </c>
      <c r="M251" s="1" t="s">
        <v>424</v>
      </c>
      <c r="N251" s="8">
        <f>DATE(2022,3,7)</f>
        <v>44627</v>
      </c>
      <c r="O251" s="8">
        <f>DATE(2026,12,18)</f>
        <v>46374</v>
      </c>
      <c r="P251" s="1">
        <v>4607</v>
      </c>
      <c r="Q251" s="1">
        <v>3600</v>
      </c>
      <c r="R251" s="1">
        <f t="shared" si="56"/>
        <v>3600</v>
      </c>
      <c r="S251" s="1">
        <v>2.5</v>
      </c>
      <c r="U251" s="1">
        <f t="shared" si="57"/>
        <v>1748</v>
      </c>
      <c r="V251" s="7">
        <f t="shared" si="58"/>
        <v>2.0594965675057209</v>
      </c>
      <c r="W251" s="7">
        <f t="shared" si="59"/>
        <v>751.71624713958806</v>
      </c>
      <c r="X251" s="7">
        <f t="shared" si="60"/>
        <v>0.93964530892448506</v>
      </c>
      <c r="AA251" s="8">
        <f t="shared" si="61"/>
        <v>44927</v>
      </c>
      <c r="AB251" s="8">
        <f t="shared" si="62"/>
        <v>45291</v>
      </c>
      <c r="AC251" s="1">
        <v>31</v>
      </c>
      <c r="AD251" s="1">
        <f t="shared" si="63"/>
        <v>365</v>
      </c>
      <c r="AE251" s="1">
        <f t="shared" si="64"/>
        <v>0</v>
      </c>
      <c r="AF251" s="1">
        <f t="shared" si="65"/>
        <v>0</v>
      </c>
      <c r="AG251" s="1">
        <f t="shared" si="66"/>
        <v>0</v>
      </c>
      <c r="AH251" s="1">
        <f t="shared" si="67"/>
        <v>0</v>
      </c>
      <c r="AI251" s="5">
        <f t="shared" si="68"/>
        <v>1</v>
      </c>
      <c r="AJ251" s="5">
        <f t="shared" si="69"/>
        <v>0.93964530892448506</v>
      </c>
      <c r="AK251" s="5">
        <f t="shared" si="70"/>
        <v>29.129004576659035</v>
      </c>
      <c r="AL251" s="5">
        <f t="shared" si="71"/>
        <v>72.822511441647592</v>
      </c>
      <c r="AM251" s="5">
        <f t="shared" si="72"/>
        <v>36.411255720823796</v>
      </c>
      <c r="AN251" s="5">
        <f t="shared" si="73"/>
        <v>109.23376716247139</v>
      </c>
      <c r="AO251" s="1" t="s">
        <v>102</v>
      </c>
    </row>
    <row r="252" spans="1:41" x14ac:dyDescent="0.25">
      <c r="A252" s="1" t="s">
        <v>19</v>
      </c>
      <c r="B252" s="1" t="s">
        <v>31</v>
      </c>
      <c r="C252" s="1" t="s">
        <v>21</v>
      </c>
      <c r="D252" s="1" t="s">
        <v>32</v>
      </c>
      <c r="E252" s="1" t="s">
        <v>96</v>
      </c>
      <c r="F252" s="1" t="s">
        <v>103</v>
      </c>
      <c r="G252" s="1" t="s">
        <v>155</v>
      </c>
      <c r="H252" s="1" t="s">
        <v>159</v>
      </c>
      <c r="I252" s="1" t="s">
        <v>100</v>
      </c>
      <c r="J252" s="1" t="s">
        <v>101</v>
      </c>
      <c r="K252" s="1" t="s">
        <v>163</v>
      </c>
      <c r="L252" s="1">
        <v>2912736</v>
      </c>
      <c r="M252" s="1" t="s">
        <v>425</v>
      </c>
      <c r="N252" s="8">
        <f>DATE(2022,6,30)</f>
        <v>44742</v>
      </c>
      <c r="O252" s="8">
        <f>DATE(2022,11,30)</f>
        <v>44895</v>
      </c>
      <c r="P252" s="1">
        <v>160</v>
      </c>
      <c r="Q252" s="1">
        <v>160</v>
      </c>
      <c r="R252" s="1">
        <f t="shared" si="56"/>
        <v>160</v>
      </c>
      <c r="S252" s="1">
        <v>1</v>
      </c>
      <c r="U252" s="1">
        <f t="shared" si="57"/>
        <v>154</v>
      </c>
      <c r="V252" s="7">
        <f t="shared" si="58"/>
        <v>1.0389610389610389</v>
      </c>
      <c r="W252" s="7">
        <f t="shared" si="59"/>
        <v>160</v>
      </c>
      <c r="X252" s="7">
        <f t="shared" si="60"/>
        <v>0.2</v>
      </c>
      <c r="AA252" s="8">
        <f t="shared" si="61"/>
        <v>44927</v>
      </c>
      <c r="AB252" s="8">
        <f t="shared" si="62"/>
        <v>45291</v>
      </c>
      <c r="AC252" s="1">
        <v>15</v>
      </c>
      <c r="AD252" s="1">
        <f t="shared" si="63"/>
        <v>0</v>
      </c>
      <c r="AE252" s="1">
        <f t="shared" si="64"/>
        <v>0</v>
      </c>
      <c r="AF252" s="1">
        <f t="shared" si="65"/>
        <v>0</v>
      </c>
      <c r="AG252" s="1">
        <f t="shared" si="66"/>
        <v>0</v>
      </c>
      <c r="AH252" s="1">
        <f t="shared" si="67"/>
        <v>182.5</v>
      </c>
      <c r="AI252" s="5">
        <f t="shared" si="68"/>
        <v>1.1850649350649352</v>
      </c>
      <c r="AJ252" s="5">
        <f t="shared" si="69"/>
        <v>0.23701298701298704</v>
      </c>
      <c r="AK252" s="5">
        <f t="shared" si="70"/>
        <v>1.7775974025974028</v>
      </c>
      <c r="AL252" s="5">
        <f t="shared" si="71"/>
        <v>1.7775974025974028</v>
      </c>
      <c r="AM252" s="5">
        <f t="shared" si="72"/>
        <v>0</v>
      </c>
      <c r="AN252" s="5">
        <f t="shared" si="73"/>
        <v>1.7775974025974028</v>
      </c>
      <c r="AO252" s="1" t="s">
        <v>102</v>
      </c>
    </row>
    <row r="253" spans="1:41" x14ac:dyDescent="0.25">
      <c r="A253" s="1" t="s">
        <v>19</v>
      </c>
      <c r="B253" s="1" t="s">
        <v>31</v>
      </c>
      <c r="C253" s="1" t="s">
        <v>21</v>
      </c>
      <c r="D253" s="1" t="s">
        <v>32</v>
      </c>
      <c r="E253" s="1" t="s">
        <v>96</v>
      </c>
      <c r="F253" s="1" t="s">
        <v>103</v>
      </c>
      <c r="G253" s="1" t="s">
        <v>155</v>
      </c>
      <c r="H253" s="1" t="s">
        <v>426</v>
      </c>
      <c r="I253" s="1" t="s">
        <v>157</v>
      </c>
      <c r="J253" s="1" t="s">
        <v>101</v>
      </c>
      <c r="K253" s="1" t="s">
        <v>163</v>
      </c>
      <c r="L253" s="1">
        <v>2912748</v>
      </c>
      <c r="M253" s="1" t="s">
        <v>427</v>
      </c>
      <c r="N253" s="8">
        <f>DATE(2022,6,30)</f>
        <v>44742</v>
      </c>
      <c r="O253" s="8">
        <f>DATE(2023,1,30)</f>
        <v>44956</v>
      </c>
      <c r="P253" s="1">
        <v>160</v>
      </c>
      <c r="Q253" s="1">
        <v>240</v>
      </c>
      <c r="R253" s="1">
        <f t="shared" si="56"/>
        <v>160</v>
      </c>
      <c r="S253" s="1">
        <v>1</v>
      </c>
      <c r="U253" s="1">
        <f t="shared" si="57"/>
        <v>215</v>
      </c>
      <c r="V253" s="7">
        <f t="shared" si="58"/>
        <v>0.7441860465116279</v>
      </c>
      <c r="W253" s="7">
        <f t="shared" si="59"/>
        <v>160</v>
      </c>
      <c r="X253" s="7">
        <f t="shared" si="60"/>
        <v>0.2</v>
      </c>
      <c r="AA253" s="8">
        <f t="shared" si="61"/>
        <v>44927</v>
      </c>
      <c r="AB253" s="8">
        <f t="shared" si="62"/>
        <v>45291</v>
      </c>
      <c r="AC253" s="1">
        <v>10</v>
      </c>
      <c r="AD253" s="1">
        <f t="shared" si="63"/>
        <v>0</v>
      </c>
      <c r="AE253" s="1">
        <f t="shared" si="64"/>
        <v>0</v>
      </c>
      <c r="AF253" s="1">
        <f t="shared" si="65"/>
        <v>30</v>
      </c>
      <c r="AG253" s="1">
        <f t="shared" si="66"/>
        <v>0</v>
      </c>
      <c r="AH253" s="1">
        <f t="shared" si="67"/>
        <v>0</v>
      </c>
      <c r="AI253" s="5">
        <f t="shared" si="68"/>
        <v>0.13953488372093023</v>
      </c>
      <c r="AJ253" s="5">
        <f t="shared" si="69"/>
        <v>2.7906976744186046E-2</v>
      </c>
      <c r="AK253" s="5">
        <f t="shared" si="70"/>
        <v>0.27906976744186046</v>
      </c>
      <c r="AL253" s="5">
        <f t="shared" si="71"/>
        <v>0.27906976744186046</v>
      </c>
      <c r="AM253" s="5">
        <f t="shared" si="72"/>
        <v>0</v>
      </c>
      <c r="AN253" s="5">
        <f t="shared" si="73"/>
        <v>0.27906976744186046</v>
      </c>
      <c r="AO253" s="1" t="s">
        <v>102</v>
      </c>
    </row>
    <row r="254" spans="1:41" x14ac:dyDescent="0.25">
      <c r="A254" s="1" t="s">
        <v>19</v>
      </c>
      <c r="B254" s="1" t="s">
        <v>31</v>
      </c>
      <c r="C254" s="1" t="s">
        <v>21</v>
      </c>
      <c r="D254" s="1" t="s">
        <v>32</v>
      </c>
      <c r="E254" s="1" t="s">
        <v>96</v>
      </c>
      <c r="F254" s="1" t="s">
        <v>103</v>
      </c>
      <c r="G254" s="1" t="s">
        <v>114</v>
      </c>
      <c r="H254" s="1" t="s">
        <v>119</v>
      </c>
      <c r="I254" s="1" t="s">
        <v>105</v>
      </c>
      <c r="J254" s="1" t="s">
        <v>106</v>
      </c>
      <c r="K254" s="1" t="s">
        <v>175</v>
      </c>
      <c r="L254" s="1">
        <v>2885169</v>
      </c>
      <c r="M254" s="1" t="s">
        <v>428</v>
      </c>
      <c r="N254" s="8">
        <f>DATE(2022,7,18)</f>
        <v>44760</v>
      </c>
      <c r="O254" s="8">
        <f>DATE(2023,12,15)</f>
        <v>45275</v>
      </c>
      <c r="P254" s="1">
        <v>1367</v>
      </c>
      <c r="Q254" s="1">
        <v>1200</v>
      </c>
      <c r="R254" s="1">
        <f t="shared" si="56"/>
        <v>1200</v>
      </c>
      <c r="S254" s="1">
        <v>2.5</v>
      </c>
      <c r="U254" s="1">
        <f t="shared" si="57"/>
        <v>516</v>
      </c>
      <c r="V254" s="7">
        <f t="shared" si="58"/>
        <v>2.3255813953488373</v>
      </c>
      <c r="W254" s="7">
        <f t="shared" si="59"/>
        <v>848.83720930232562</v>
      </c>
      <c r="X254" s="7">
        <f t="shared" si="60"/>
        <v>1.0610465116279071</v>
      </c>
      <c r="AA254" s="8">
        <f t="shared" si="61"/>
        <v>44927</v>
      </c>
      <c r="AB254" s="8">
        <f t="shared" si="62"/>
        <v>45291</v>
      </c>
      <c r="AC254" s="1">
        <v>33</v>
      </c>
      <c r="AD254" s="1">
        <f t="shared" si="63"/>
        <v>0</v>
      </c>
      <c r="AE254" s="1">
        <f t="shared" si="64"/>
        <v>0</v>
      </c>
      <c r="AF254" s="1">
        <f t="shared" si="65"/>
        <v>349</v>
      </c>
      <c r="AG254" s="1">
        <f t="shared" si="66"/>
        <v>0</v>
      </c>
      <c r="AH254" s="1">
        <f t="shared" si="67"/>
        <v>0</v>
      </c>
      <c r="AI254" s="5">
        <f t="shared" si="68"/>
        <v>0.95616438356164379</v>
      </c>
      <c r="AJ254" s="5">
        <f t="shared" si="69"/>
        <v>1.0145348837209303</v>
      </c>
      <c r="AK254" s="5">
        <f t="shared" si="70"/>
        <v>33.479651162790695</v>
      </c>
      <c r="AL254" s="5">
        <f t="shared" si="71"/>
        <v>83.699127906976742</v>
      </c>
      <c r="AM254" s="5">
        <f t="shared" si="72"/>
        <v>41.849563953488371</v>
      </c>
      <c r="AN254" s="5">
        <f t="shared" si="73"/>
        <v>125.54869186046511</v>
      </c>
      <c r="AO254" s="1" t="s">
        <v>102</v>
      </c>
    </row>
    <row r="255" spans="1:41" x14ac:dyDescent="0.25">
      <c r="A255" s="1" t="s">
        <v>19</v>
      </c>
      <c r="B255" s="1" t="s">
        <v>31</v>
      </c>
      <c r="C255" s="1" t="s">
        <v>21</v>
      </c>
      <c r="D255" s="1" t="s">
        <v>32</v>
      </c>
      <c r="E255" s="1" t="s">
        <v>96</v>
      </c>
      <c r="F255" s="1" t="s">
        <v>103</v>
      </c>
      <c r="G255" s="1" t="s">
        <v>98</v>
      </c>
      <c r="H255" s="1" t="s">
        <v>355</v>
      </c>
      <c r="I255" s="1" t="s">
        <v>105</v>
      </c>
      <c r="J255" s="1" t="s">
        <v>106</v>
      </c>
      <c r="L255" s="1">
        <v>2904428</v>
      </c>
      <c r="M255" s="1" t="s">
        <v>429</v>
      </c>
      <c r="N255" s="8">
        <f>DATE(2022,8,10)</f>
        <v>44783</v>
      </c>
      <c r="O255" s="8">
        <f>DATE(2027,8,30)</f>
        <v>46629</v>
      </c>
      <c r="P255" s="1">
        <v>4607</v>
      </c>
      <c r="Q255" s="1">
        <v>3600</v>
      </c>
      <c r="R255" s="1">
        <f t="shared" si="56"/>
        <v>3600</v>
      </c>
      <c r="S255" s="1">
        <v>2.5</v>
      </c>
      <c r="U255" s="1">
        <f t="shared" si="57"/>
        <v>1847</v>
      </c>
      <c r="V255" s="7">
        <f t="shared" si="58"/>
        <v>1.9491066594477531</v>
      </c>
      <c r="W255" s="7">
        <f t="shared" si="59"/>
        <v>711.4239306984299</v>
      </c>
      <c r="X255" s="7">
        <f t="shared" si="60"/>
        <v>0.88927991337303736</v>
      </c>
      <c r="AA255" s="8">
        <f t="shared" si="61"/>
        <v>44927</v>
      </c>
      <c r="AB255" s="8">
        <f t="shared" si="62"/>
        <v>45291</v>
      </c>
      <c r="AC255" s="1">
        <v>34</v>
      </c>
      <c r="AD255" s="1">
        <f t="shared" si="63"/>
        <v>365</v>
      </c>
      <c r="AE255" s="1">
        <f t="shared" si="64"/>
        <v>0</v>
      </c>
      <c r="AF255" s="1">
        <f t="shared" si="65"/>
        <v>0</v>
      </c>
      <c r="AG255" s="1">
        <f t="shared" si="66"/>
        <v>0</v>
      </c>
      <c r="AH255" s="1">
        <f t="shared" si="67"/>
        <v>0</v>
      </c>
      <c r="AI255" s="5">
        <f t="shared" si="68"/>
        <v>1</v>
      </c>
      <c r="AJ255" s="5">
        <f t="shared" si="69"/>
        <v>0.88927991337303736</v>
      </c>
      <c r="AK255" s="5">
        <f t="shared" si="70"/>
        <v>30.235517054683271</v>
      </c>
      <c r="AL255" s="5">
        <f t="shared" si="71"/>
        <v>75.588792636708177</v>
      </c>
      <c r="AM255" s="5">
        <f t="shared" si="72"/>
        <v>37.794396318354089</v>
      </c>
      <c r="AN255" s="5">
        <f t="shared" si="73"/>
        <v>113.38318895506227</v>
      </c>
      <c r="AO255" s="1" t="s">
        <v>102</v>
      </c>
    </row>
    <row r="256" spans="1:41" x14ac:dyDescent="0.25">
      <c r="A256" s="1" t="s">
        <v>19</v>
      </c>
      <c r="B256" s="1" t="s">
        <v>31</v>
      </c>
      <c r="C256" s="1" t="s">
        <v>21</v>
      </c>
      <c r="D256" s="1" t="s">
        <v>32</v>
      </c>
      <c r="E256" s="1" t="s">
        <v>96</v>
      </c>
      <c r="F256" s="1" t="s">
        <v>103</v>
      </c>
      <c r="G256" s="1" t="s">
        <v>155</v>
      </c>
      <c r="H256" s="1" t="s">
        <v>430</v>
      </c>
      <c r="I256" s="1" t="s">
        <v>105</v>
      </c>
      <c r="J256" s="1" t="s">
        <v>101</v>
      </c>
      <c r="K256" s="1" t="s">
        <v>163</v>
      </c>
      <c r="L256" s="1">
        <v>2918034</v>
      </c>
      <c r="M256" s="1" t="s">
        <v>431</v>
      </c>
      <c r="N256" s="8">
        <f>DATE(2022,9,5)</f>
        <v>44809</v>
      </c>
      <c r="O256" s="8">
        <f>DATE(2022,12,20)</f>
        <v>44915</v>
      </c>
      <c r="P256" s="1">
        <v>140</v>
      </c>
      <c r="Q256" s="1">
        <v>200</v>
      </c>
      <c r="R256" s="1">
        <f t="shared" si="56"/>
        <v>140</v>
      </c>
      <c r="S256" s="1">
        <v>1</v>
      </c>
      <c r="U256" s="1">
        <f t="shared" si="57"/>
        <v>107</v>
      </c>
      <c r="V256" s="7">
        <f t="shared" si="58"/>
        <v>1.308411214953271</v>
      </c>
      <c r="W256" s="7">
        <f t="shared" si="59"/>
        <v>140</v>
      </c>
      <c r="X256" s="7">
        <f t="shared" si="60"/>
        <v>0.17499999999999999</v>
      </c>
      <c r="AA256" s="8">
        <f t="shared" si="61"/>
        <v>44927</v>
      </c>
      <c r="AB256" s="8">
        <f t="shared" si="62"/>
        <v>45291</v>
      </c>
      <c r="AC256" s="1">
        <v>0</v>
      </c>
      <c r="AD256" s="1">
        <f t="shared" si="63"/>
        <v>0</v>
      </c>
      <c r="AE256" s="1">
        <f t="shared" si="64"/>
        <v>0</v>
      </c>
      <c r="AF256" s="1">
        <f t="shared" si="65"/>
        <v>0</v>
      </c>
      <c r="AG256" s="1">
        <f t="shared" si="66"/>
        <v>0</v>
      </c>
      <c r="AH256" s="1">
        <f t="shared" si="67"/>
        <v>182.5</v>
      </c>
      <c r="AI256" s="5">
        <f t="shared" si="68"/>
        <v>1.705607476635514</v>
      </c>
      <c r="AJ256" s="5">
        <f t="shared" si="69"/>
        <v>0.29848130841121495</v>
      </c>
      <c r="AK256" s="5">
        <f t="shared" si="70"/>
        <v>0</v>
      </c>
      <c r="AL256" s="5">
        <f t="shared" si="71"/>
        <v>0</v>
      </c>
      <c r="AM256" s="5">
        <f t="shared" si="72"/>
        <v>0</v>
      </c>
      <c r="AN256" s="5">
        <f t="shared" si="73"/>
        <v>0</v>
      </c>
      <c r="AO256" s="1" t="s">
        <v>102</v>
      </c>
    </row>
    <row r="257" spans="1:41" x14ac:dyDescent="0.25">
      <c r="A257" s="1" t="s">
        <v>19</v>
      </c>
      <c r="B257" s="1" t="s">
        <v>31</v>
      </c>
      <c r="C257" s="1" t="s">
        <v>21</v>
      </c>
      <c r="D257" s="1" t="s">
        <v>32</v>
      </c>
      <c r="E257" s="1" t="s">
        <v>96</v>
      </c>
      <c r="F257" s="1" t="s">
        <v>103</v>
      </c>
      <c r="G257" s="1" t="s">
        <v>114</v>
      </c>
      <c r="H257" s="1" t="s">
        <v>249</v>
      </c>
      <c r="I257" s="1" t="s">
        <v>162</v>
      </c>
      <c r="J257" s="1" t="s">
        <v>101</v>
      </c>
      <c r="K257" s="1" t="s">
        <v>116</v>
      </c>
      <c r="L257" s="1">
        <v>2950224</v>
      </c>
      <c r="M257" s="1" t="s">
        <v>432</v>
      </c>
      <c r="N257" s="8">
        <f t="shared" ref="N257:N262" si="77">DATE(2023,2,6)</f>
        <v>44963</v>
      </c>
      <c r="O257" s="8">
        <f>DATE(2025,12,30)</f>
        <v>46021</v>
      </c>
      <c r="P257" s="1">
        <v>4176</v>
      </c>
      <c r="Q257" s="1">
        <v>1000</v>
      </c>
      <c r="R257" s="1">
        <f t="shared" si="56"/>
        <v>3100</v>
      </c>
      <c r="S257" s="1">
        <v>1.5</v>
      </c>
      <c r="U257" s="1">
        <f t="shared" si="57"/>
        <v>1059</v>
      </c>
      <c r="V257" s="7">
        <f t="shared" si="58"/>
        <v>2.9272898961284231</v>
      </c>
      <c r="W257" s="7">
        <f t="shared" si="59"/>
        <v>1068.4608120868745</v>
      </c>
      <c r="X257" s="7">
        <f t="shared" si="60"/>
        <v>1.3355760151085931</v>
      </c>
      <c r="AA257" s="8">
        <f t="shared" si="61"/>
        <v>44927</v>
      </c>
      <c r="AB257" s="8">
        <f t="shared" si="62"/>
        <v>45291</v>
      </c>
      <c r="AC257" s="1">
        <v>36</v>
      </c>
      <c r="AD257" s="1">
        <f t="shared" si="63"/>
        <v>0</v>
      </c>
      <c r="AE257" s="1">
        <f t="shared" si="64"/>
        <v>329</v>
      </c>
      <c r="AF257" s="1">
        <f t="shared" si="65"/>
        <v>0</v>
      </c>
      <c r="AG257" s="1">
        <f t="shared" si="66"/>
        <v>0</v>
      </c>
      <c r="AH257" s="1">
        <f t="shared" si="67"/>
        <v>0</v>
      </c>
      <c r="AI257" s="5">
        <f t="shared" si="68"/>
        <v>0.90136986301369859</v>
      </c>
      <c r="AJ257" s="5">
        <f t="shared" si="69"/>
        <v>1.2038479697828139</v>
      </c>
      <c r="AK257" s="5">
        <f t="shared" si="70"/>
        <v>43.338526912181301</v>
      </c>
      <c r="AL257" s="5">
        <f t="shared" si="71"/>
        <v>65.007790368271955</v>
      </c>
      <c r="AM257" s="5">
        <f t="shared" si="72"/>
        <v>0</v>
      </c>
      <c r="AN257" s="5">
        <f t="shared" si="73"/>
        <v>65.007790368271955</v>
      </c>
      <c r="AO257" s="1" t="s">
        <v>102</v>
      </c>
    </row>
    <row r="258" spans="1:41" x14ac:dyDescent="0.25">
      <c r="A258" s="1" t="s">
        <v>19</v>
      </c>
      <c r="B258" s="1" t="s">
        <v>31</v>
      </c>
      <c r="C258" s="1" t="s">
        <v>21</v>
      </c>
      <c r="D258" s="1" t="s">
        <v>32</v>
      </c>
      <c r="E258" s="1" t="s">
        <v>96</v>
      </c>
      <c r="F258" s="1" t="s">
        <v>103</v>
      </c>
      <c r="G258" s="1" t="s">
        <v>114</v>
      </c>
      <c r="H258" s="1" t="s">
        <v>119</v>
      </c>
      <c r="I258" s="1" t="s">
        <v>105</v>
      </c>
      <c r="J258" s="1" t="s">
        <v>106</v>
      </c>
      <c r="K258" s="1" t="s">
        <v>116</v>
      </c>
      <c r="L258" s="1">
        <v>2950230</v>
      </c>
      <c r="M258" s="1" t="s">
        <v>433</v>
      </c>
      <c r="N258" s="8">
        <f t="shared" si="77"/>
        <v>44963</v>
      </c>
      <c r="O258" s="8">
        <f>DATE(2025,12,30)</f>
        <v>46021</v>
      </c>
      <c r="P258" s="1">
        <v>4278</v>
      </c>
      <c r="Q258" s="1">
        <v>1200</v>
      </c>
      <c r="R258" s="1">
        <f t="shared" ref="R258:R321" si="78">IF(OR(G258="QUALIFICACAO PROFISSIONAL (FIC)",G258="DOUTORADO"),P258,
    IF(ISNUMBER(FIND("PROEJA",K258)),2400,
        IF(K258="INTEGRADO",
            IF(Q258=800,3000,
                IF(Q258=1000,3100,
                    IF(Q258=1200,3200,Q258)
                )
            ),
            Q258
        )
    )
)</f>
        <v>3200</v>
      </c>
      <c r="S258" s="1">
        <v>2.5</v>
      </c>
      <c r="U258" s="1">
        <f t="shared" ref="U258:U321" si="79">O258-N258+1</f>
        <v>1059</v>
      </c>
      <c r="V258" s="7">
        <f t="shared" ref="V258:V321" si="80">IF(R258&gt;P258,P258,R258)/U258</f>
        <v>3.0217186024551466</v>
      </c>
      <c r="W258" s="7">
        <f t="shared" ref="W258:W321" si="81">IF(U258&gt;365,V258*365,R258)</f>
        <v>1102.9272898961285</v>
      </c>
      <c r="X258" s="7">
        <f t="shared" ref="X258:X321" si="82">IF(U258&gt;365,W258/800,R258/800)</f>
        <v>1.3786591123701606</v>
      </c>
      <c r="AA258" s="8">
        <f t="shared" ref="AA258:AA321" si="83">DATE(2023,1,1)</f>
        <v>44927</v>
      </c>
      <c r="AB258" s="8">
        <f t="shared" ref="AB258:AB321" si="84">DATE(2023,12,31)</f>
        <v>45291</v>
      </c>
      <c r="AC258" s="1">
        <v>102</v>
      </c>
      <c r="AD258" s="1">
        <f t="shared" ref="AD258:AD321" si="85">IF(AND(N258&lt;AA258,O258&gt;AB258),AB258-AA258+1,0)</f>
        <v>0</v>
      </c>
      <c r="AE258" s="1">
        <f t="shared" ref="AE258:AE321" si="86">IF(AND(N258&gt;=AA258,O258&gt;AB258,N258&lt;AB258),AB258-N258+1,0)</f>
        <v>329</v>
      </c>
      <c r="AF258" s="1">
        <f t="shared" ref="AF258:AF321" si="87">IF(AND(N258&lt;AA258,O258&lt;=AB258,O258&gt;=AA258),O258-AA258+1,0)</f>
        <v>0</v>
      </c>
      <c r="AG258" s="1">
        <f t="shared" ref="AG258:AG321" si="88">IF(AND(N258&gt;=AA258,O258&lt;=AB258),O258-N258+1,0)</f>
        <v>0</v>
      </c>
      <c r="AH258" s="1">
        <f t="shared" ref="AH258:AH321" si="89">IF(AND(N258&lt;AA258,O258&lt;AA258),(AB258-AA258+1)/2,0)</f>
        <v>0</v>
      </c>
      <c r="AI258" s="5">
        <f t="shared" ref="AI258:AI321" si="90">SUM(AD258:AH258)/IF(U258&gt;=365,AB258-AA258+1,U258)</f>
        <v>0.90136986301369859</v>
      </c>
      <c r="AJ258" s="5">
        <f t="shared" ref="AJ258:AJ321" si="91">X258*AI258</f>
        <v>1.242681775259679</v>
      </c>
      <c r="AK258" s="5">
        <f t="shared" ref="AK258:AK321" si="92">IF(AH258=0,AJ258*AC258,IF(AA258-O258&gt;1095,0,AJ258*(AC258/2)))</f>
        <v>126.75354107648727</v>
      </c>
      <c r="AL258" s="5">
        <f t="shared" ref="AL258:AL321" si="93">AK258*S258</f>
        <v>316.88385269121818</v>
      </c>
      <c r="AM258" s="5">
        <f t="shared" ref="AM258:AM321" si="94">IF(J258="SIM",AL258*50%,0)</f>
        <v>158.44192634560909</v>
      </c>
      <c r="AN258" s="5">
        <f t="shared" ref="AN258:AN321" si="95">AL258+AM258</f>
        <v>475.32577903682727</v>
      </c>
      <c r="AO258" s="1" t="s">
        <v>102</v>
      </c>
    </row>
    <row r="259" spans="1:41" x14ac:dyDescent="0.25">
      <c r="A259" s="1" t="s">
        <v>19</v>
      </c>
      <c r="B259" s="1" t="s">
        <v>31</v>
      </c>
      <c r="C259" s="1" t="s">
        <v>21</v>
      </c>
      <c r="D259" s="1" t="s">
        <v>32</v>
      </c>
      <c r="E259" s="1" t="s">
        <v>96</v>
      </c>
      <c r="F259" s="1" t="s">
        <v>103</v>
      </c>
      <c r="G259" s="1" t="s">
        <v>127</v>
      </c>
      <c r="H259" s="1" t="s">
        <v>360</v>
      </c>
      <c r="I259" s="1" t="s">
        <v>255</v>
      </c>
      <c r="J259" s="1" t="s">
        <v>106</v>
      </c>
      <c r="L259" s="1">
        <v>2950501</v>
      </c>
      <c r="M259" s="1" t="s">
        <v>434</v>
      </c>
      <c r="N259" s="8">
        <f t="shared" si="77"/>
        <v>44963</v>
      </c>
      <c r="O259" s="8">
        <f>DATE(2025,12,30)</f>
        <v>46021</v>
      </c>
      <c r="P259" s="1">
        <v>2439</v>
      </c>
      <c r="Q259" s="1">
        <v>2400</v>
      </c>
      <c r="R259" s="1">
        <f t="shared" si="78"/>
        <v>2400</v>
      </c>
      <c r="S259" s="1">
        <v>2.5</v>
      </c>
      <c r="U259" s="1">
        <f t="shared" si="79"/>
        <v>1059</v>
      </c>
      <c r="V259" s="7">
        <f t="shared" si="80"/>
        <v>2.2662889518413598</v>
      </c>
      <c r="W259" s="7">
        <f t="shared" si="81"/>
        <v>827.19546742209639</v>
      </c>
      <c r="X259" s="7">
        <f t="shared" si="82"/>
        <v>1.0339943342776206</v>
      </c>
      <c r="AA259" s="8">
        <f t="shared" si="83"/>
        <v>44927</v>
      </c>
      <c r="AB259" s="8">
        <f t="shared" si="84"/>
        <v>45291</v>
      </c>
      <c r="AC259" s="1">
        <v>23</v>
      </c>
      <c r="AD259" s="1">
        <f t="shared" si="85"/>
        <v>0</v>
      </c>
      <c r="AE259" s="1">
        <f t="shared" si="86"/>
        <v>329</v>
      </c>
      <c r="AF259" s="1">
        <f t="shared" si="87"/>
        <v>0</v>
      </c>
      <c r="AG259" s="1">
        <f t="shared" si="88"/>
        <v>0</v>
      </c>
      <c r="AH259" s="1">
        <f t="shared" si="89"/>
        <v>0</v>
      </c>
      <c r="AI259" s="5">
        <f t="shared" si="90"/>
        <v>0.90136986301369859</v>
      </c>
      <c r="AJ259" s="5">
        <f t="shared" si="91"/>
        <v>0.93201133144475934</v>
      </c>
      <c r="AK259" s="5">
        <f t="shared" si="92"/>
        <v>21.436260623229465</v>
      </c>
      <c r="AL259" s="5">
        <f t="shared" si="93"/>
        <v>53.59065155807366</v>
      </c>
      <c r="AM259" s="5">
        <f t="shared" si="94"/>
        <v>26.79532577903683</v>
      </c>
      <c r="AN259" s="5">
        <f t="shared" si="95"/>
        <v>80.385977337110489</v>
      </c>
      <c r="AO259" s="1" t="s">
        <v>102</v>
      </c>
    </row>
    <row r="260" spans="1:41" x14ac:dyDescent="0.25">
      <c r="A260" s="1" t="s">
        <v>19</v>
      </c>
      <c r="B260" s="1" t="s">
        <v>31</v>
      </c>
      <c r="C260" s="1" t="s">
        <v>21</v>
      </c>
      <c r="D260" s="1" t="s">
        <v>32</v>
      </c>
      <c r="E260" s="1" t="s">
        <v>96</v>
      </c>
      <c r="F260" s="1" t="s">
        <v>103</v>
      </c>
      <c r="G260" s="1" t="s">
        <v>127</v>
      </c>
      <c r="H260" s="1" t="s">
        <v>370</v>
      </c>
      <c r="I260" s="1" t="s">
        <v>100</v>
      </c>
      <c r="J260" s="1" t="s">
        <v>101</v>
      </c>
      <c r="L260" s="1">
        <v>2950506</v>
      </c>
      <c r="M260" s="1" t="s">
        <v>435</v>
      </c>
      <c r="N260" s="8">
        <f t="shared" si="77"/>
        <v>44963</v>
      </c>
      <c r="O260" s="8">
        <f>DATE(2025,6,30)</f>
        <v>45838</v>
      </c>
      <c r="P260" s="1">
        <v>1700</v>
      </c>
      <c r="Q260" s="1">
        <v>1600</v>
      </c>
      <c r="R260" s="1">
        <f t="shared" si="78"/>
        <v>1600</v>
      </c>
      <c r="S260" s="1">
        <v>1</v>
      </c>
      <c r="U260" s="1">
        <f t="shared" si="79"/>
        <v>876</v>
      </c>
      <c r="V260" s="7">
        <f t="shared" si="80"/>
        <v>1.8264840182648401</v>
      </c>
      <c r="W260" s="7">
        <f t="shared" si="81"/>
        <v>666.66666666666663</v>
      </c>
      <c r="X260" s="7">
        <f t="shared" si="82"/>
        <v>0.83333333333333326</v>
      </c>
      <c r="AA260" s="8">
        <f t="shared" si="83"/>
        <v>44927</v>
      </c>
      <c r="AB260" s="8">
        <f t="shared" si="84"/>
        <v>45291</v>
      </c>
      <c r="AC260" s="1">
        <v>35</v>
      </c>
      <c r="AD260" s="1">
        <f t="shared" si="85"/>
        <v>0</v>
      </c>
      <c r="AE260" s="1">
        <f t="shared" si="86"/>
        <v>329</v>
      </c>
      <c r="AF260" s="1">
        <f t="shared" si="87"/>
        <v>0</v>
      </c>
      <c r="AG260" s="1">
        <f t="shared" si="88"/>
        <v>0</v>
      </c>
      <c r="AH260" s="1">
        <f t="shared" si="89"/>
        <v>0</v>
      </c>
      <c r="AI260" s="5">
        <f t="shared" si="90"/>
        <v>0.90136986301369859</v>
      </c>
      <c r="AJ260" s="5">
        <f t="shared" si="91"/>
        <v>0.75114155251141546</v>
      </c>
      <c r="AK260" s="5">
        <f t="shared" si="92"/>
        <v>26.289954337899541</v>
      </c>
      <c r="AL260" s="5">
        <f t="shared" si="93"/>
        <v>26.289954337899541</v>
      </c>
      <c r="AM260" s="5">
        <f t="shared" si="94"/>
        <v>0</v>
      </c>
      <c r="AN260" s="5">
        <f t="shared" si="95"/>
        <v>26.289954337899541</v>
      </c>
      <c r="AO260" s="1" t="s">
        <v>102</v>
      </c>
    </row>
    <row r="261" spans="1:41" x14ac:dyDescent="0.25">
      <c r="A261" s="1" t="s">
        <v>19</v>
      </c>
      <c r="B261" s="1" t="s">
        <v>31</v>
      </c>
      <c r="C261" s="1" t="s">
        <v>21</v>
      </c>
      <c r="D261" s="1" t="s">
        <v>32</v>
      </c>
      <c r="E261" s="1" t="s">
        <v>96</v>
      </c>
      <c r="F261" s="1" t="s">
        <v>103</v>
      </c>
      <c r="G261" s="1" t="s">
        <v>98</v>
      </c>
      <c r="H261" s="1" t="s">
        <v>355</v>
      </c>
      <c r="I261" s="1" t="s">
        <v>105</v>
      </c>
      <c r="J261" s="1" t="s">
        <v>106</v>
      </c>
      <c r="L261" s="1">
        <v>2950512</v>
      </c>
      <c r="M261" s="1" t="s">
        <v>436</v>
      </c>
      <c r="N261" s="8">
        <f t="shared" si="77"/>
        <v>44963</v>
      </c>
      <c r="O261" s="8">
        <f>DATE(2027,12,30)</f>
        <v>46751</v>
      </c>
      <c r="P261" s="1">
        <v>3683</v>
      </c>
      <c r="Q261" s="1">
        <v>3600</v>
      </c>
      <c r="R261" s="1">
        <f t="shared" si="78"/>
        <v>3600</v>
      </c>
      <c r="S261" s="1">
        <v>2.5</v>
      </c>
      <c r="U261" s="1">
        <f t="shared" si="79"/>
        <v>1789</v>
      </c>
      <c r="V261" s="7">
        <f t="shared" si="80"/>
        <v>2.0122973728339857</v>
      </c>
      <c r="W261" s="7">
        <f t="shared" si="81"/>
        <v>734.4885410844048</v>
      </c>
      <c r="X261" s="7">
        <f t="shared" si="82"/>
        <v>0.91811067635550603</v>
      </c>
      <c r="AA261" s="8">
        <f t="shared" si="83"/>
        <v>44927</v>
      </c>
      <c r="AB261" s="8">
        <f t="shared" si="84"/>
        <v>45291</v>
      </c>
      <c r="AC261" s="1">
        <v>57</v>
      </c>
      <c r="AD261" s="1">
        <f t="shared" si="85"/>
        <v>0</v>
      </c>
      <c r="AE261" s="1">
        <f t="shared" si="86"/>
        <v>329</v>
      </c>
      <c r="AF261" s="1">
        <f t="shared" si="87"/>
        <v>0</v>
      </c>
      <c r="AG261" s="1">
        <f t="shared" si="88"/>
        <v>0</v>
      </c>
      <c r="AH261" s="1">
        <f t="shared" si="89"/>
        <v>0</v>
      </c>
      <c r="AI261" s="5">
        <f t="shared" si="90"/>
        <v>0.90136986301369859</v>
      </c>
      <c r="AJ261" s="5">
        <f t="shared" si="91"/>
        <v>0.82755729457797667</v>
      </c>
      <c r="AK261" s="5">
        <f t="shared" si="92"/>
        <v>47.170765790944671</v>
      </c>
      <c r="AL261" s="5">
        <f t="shared" si="93"/>
        <v>117.92691447736168</v>
      </c>
      <c r="AM261" s="5">
        <f t="shared" si="94"/>
        <v>58.963457238680839</v>
      </c>
      <c r="AN261" s="5">
        <f t="shared" si="95"/>
        <v>176.89037171604252</v>
      </c>
      <c r="AO261" s="1" t="s">
        <v>102</v>
      </c>
    </row>
    <row r="262" spans="1:41" x14ac:dyDescent="0.25">
      <c r="A262" s="1" t="s">
        <v>19</v>
      </c>
      <c r="B262" s="1" t="s">
        <v>31</v>
      </c>
      <c r="C262" s="1" t="s">
        <v>21</v>
      </c>
      <c r="D262" s="1" t="s">
        <v>32</v>
      </c>
      <c r="E262" s="1" t="s">
        <v>96</v>
      </c>
      <c r="F262" s="1" t="s">
        <v>103</v>
      </c>
      <c r="G262" s="1" t="s">
        <v>320</v>
      </c>
      <c r="H262" s="1" t="s">
        <v>353</v>
      </c>
      <c r="I262" s="1" t="s">
        <v>174</v>
      </c>
      <c r="J262" s="1" t="s">
        <v>101</v>
      </c>
      <c r="L262" s="1">
        <v>2950518</v>
      </c>
      <c r="M262" s="1" t="s">
        <v>437</v>
      </c>
      <c r="N262" s="8">
        <f t="shared" si="77"/>
        <v>44963</v>
      </c>
      <c r="O262" s="8">
        <f>DATE(2027,6,30)</f>
        <v>46568</v>
      </c>
      <c r="P262" s="1">
        <v>3400</v>
      </c>
      <c r="Q262" s="1">
        <v>3200</v>
      </c>
      <c r="R262" s="1">
        <f t="shared" si="78"/>
        <v>3200</v>
      </c>
      <c r="S262" s="1">
        <v>2.5</v>
      </c>
      <c r="U262" s="1">
        <f t="shared" si="79"/>
        <v>1606</v>
      </c>
      <c r="V262" s="7">
        <f t="shared" si="80"/>
        <v>1.9925280199252802</v>
      </c>
      <c r="W262" s="7">
        <f t="shared" si="81"/>
        <v>727.27272727272725</v>
      </c>
      <c r="X262" s="7">
        <f t="shared" si="82"/>
        <v>0.90909090909090906</v>
      </c>
      <c r="AA262" s="8">
        <f t="shared" si="83"/>
        <v>44927</v>
      </c>
      <c r="AB262" s="8">
        <f t="shared" si="84"/>
        <v>45291</v>
      </c>
      <c r="AC262" s="1">
        <v>15</v>
      </c>
      <c r="AD262" s="1">
        <f t="shared" si="85"/>
        <v>0</v>
      </c>
      <c r="AE262" s="1">
        <f t="shared" si="86"/>
        <v>329</v>
      </c>
      <c r="AF262" s="1">
        <f t="shared" si="87"/>
        <v>0</v>
      </c>
      <c r="AG262" s="1">
        <f t="shared" si="88"/>
        <v>0</v>
      </c>
      <c r="AH262" s="1">
        <f t="shared" si="89"/>
        <v>0</v>
      </c>
      <c r="AI262" s="5">
        <f t="shared" si="90"/>
        <v>0.90136986301369859</v>
      </c>
      <c r="AJ262" s="5">
        <f t="shared" si="91"/>
        <v>0.81942714819427143</v>
      </c>
      <c r="AK262" s="5">
        <f t="shared" si="92"/>
        <v>12.291407222914071</v>
      </c>
      <c r="AL262" s="5">
        <f t="shared" si="93"/>
        <v>30.728518057285179</v>
      </c>
      <c r="AM262" s="5">
        <f t="shared" si="94"/>
        <v>0</v>
      </c>
      <c r="AN262" s="5">
        <f t="shared" si="95"/>
        <v>30.728518057285179</v>
      </c>
      <c r="AO262" s="1" t="s">
        <v>102</v>
      </c>
    </row>
    <row r="263" spans="1:41" x14ac:dyDescent="0.25">
      <c r="A263" s="1" t="s">
        <v>19</v>
      </c>
      <c r="B263" s="1" t="s">
        <v>31</v>
      </c>
      <c r="C263" s="1" t="s">
        <v>21</v>
      </c>
      <c r="D263" s="1" t="s">
        <v>32</v>
      </c>
      <c r="E263" s="1" t="s">
        <v>96</v>
      </c>
      <c r="F263" s="1" t="s">
        <v>103</v>
      </c>
      <c r="G263" s="1" t="s">
        <v>114</v>
      </c>
      <c r="H263" s="1" t="s">
        <v>119</v>
      </c>
      <c r="I263" s="1" t="s">
        <v>105</v>
      </c>
      <c r="J263" s="1" t="s">
        <v>106</v>
      </c>
      <c r="K263" s="1" t="s">
        <v>175</v>
      </c>
      <c r="L263" s="1">
        <v>2950984</v>
      </c>
      <c r="M263" s="1" t="s">
        <v>438</v>
      </c>
      <c r="N263" s="8">
        <f>DATE(2023,2,10)</f>
        <v>44967</v>
      </c>
      <c r="O263" s="8">
        <f>DATE(2024,6,30)</f>
        <v>45473</v>
      </c>
      <c r="P263" s="1">
        <v>1367</v>
      </c>
      <c r="Q263" s="1">
        <v>1200</v>
      </c>
      <c r="R263" s="1">
        <f t="shared" si="78"/>
        <v>1200</v>
      </c>
      <c r="S263" s="1">
        <v>2.5</v>
      </c>
      <c r="U263" s="1">
        <f t="shared" si="79"/>
        <v>507</v>
      </c>
      <c r="V263" s="7">
        <f t="shared" si="80"/>
        <v>2.3668639053254439</v>
      </c>
      <c r="W263" s="7">
        <f t="shared" si="81"/>
        <v>863.90532544378698</v>
      </c>
      <c r="X263" s="7">
        <f t="shared" si="82"/>
        <v>1.0798816568047338</v>
      </c>
      <c r="AA263" s="8">
        <f t="shared" si="83"/>
        <v>44927</v>
      </c>
      <c r="AB263" s="8">
        <f t="shared" si="84"/>
        <v>45291</v>
      </c>
      <c r="AC263" s="1">
        <v>40</v>
      </c>
      <c r="AD263" s="1">
        <f t="shared" si="85"/>
        <v>0</v>
      </c>
      <c r="AE263" s="1">
        <f t="shared" si="86"/>
        <v>325</v>
      </c>
      <c r="AF263" s="1">
        <f t="shared" si="87"/>
        <v>0</v>
      </c>
      <c r="AG263" s="1">
        <f t="shared" si="88"/>
        <v>0</v>
      </c>
      <c r="AH263" s="1">
        <f t="shared" si="89"/>
        <v>0</v>
      </c>
      <c r="AI263" s="5">
        <f t="shared" si="90"/>
        <v>0.8904109589041096</v>
      </c>
      <c r="AJ263" s="5">
        <f t="shared" si="91"/>
        <v>0.96153846153846156</v>
      </c>
      <c r="AK263" s="5">
        <f t="shared" si="92"/>
        <v>38.46153846153846</v>
      </c>
      <c r="AL263" s="5">
        <f t="shared" si="93"/>
        <v>96.153846153846146</v>
      </c>
      <c r="AM263" s="5">
        <f t="shared" si="94"/>
        <v>48.076923076923073</v>
      </c>
      <c r="AN263" s="5">
        <f t="shared" si="95"/>
        <v>144.23076923076923</v>
      </c>
      <c r="AO263" s="1" t="s">
        <v>102</v>
      </c>
    </row>
    <row r="264" spans="1:41" x14ac:dyDescent="0.25">
      <c r="A264" s="1" t="s">
        <v>19</v>
      </c>
      <c r="B264" s="1" t="s">
        <v>31</v>
      </c>
      <c r="C264" s="1" t="s">
        <v>21</v>
      </c>
      <c r="D264" s="1" t="s">
        <v>32</v>
      </c>
      <c r="E264" s="1" t="s">
        <v>172</v>
      </c>
      <c r="F264" s="1" t="s">
        <v>103</v>
      </c>
      <c r="G264" s="1" t="s">
        <v>114</v>
      </c>
      <c r="H264" s="1" t="s">
        <v>173</v>
      </c>
      <c r="I264" s="1" t="s">
        <v>174</v>
      </c>
      <c r="J264" s="1" t="s">
        <v>101</v>
      </c>
      <c r="K264" s="1" t="s">
        <v>175</v>
      </c>
      <c r="L264" s="1">
        <v>2957155</v>
      </c>
      <c r="M264" s="1" t="s">
        <v>439</v>
      </c>
      <c r="N264" s="8">
        <f>DATE(2023,3,3)</f>
        <v>44988</v>
      </c>
      <c r="O264" s="8">
        <f>DATE(2024,10,31)</f>
        <v>45596</v>
      </c>
      <c r="P264" s="1">
        <v>1200</v>
      </c>
      <c r="Q264" s="1">
        <v>1200</v>
      </c>
      <c r="R264" s="1">
        <f t="shared" si="78"/>
        <v>1200</v>
      </c>
      <c r="S264" s="1">
        <v>2</v>
      </c>
      <c r="U264" s="1">
        <f t="shared" si="79"/>
        <v>609</v>
      </c>
      <c r="V264" s="7">
        <f t="shared" si="80"/>
        <v>1.9704433497536946</v>
      </c>
      <c r="W264" s="7">
        <f t="shared" si="81"/>
        <v>719.21182266009851</v>
      </c>
      <c r="X264" s="7">
        <f t="shared" si="82"/>
        <v>0.89901477832512311</v>
      </c>
      <c r="AA264" s="8">
        <f t="shared" si="83"/>
        <v>44927</v>
      </c>
      <c r="AB264" s="8">
        <f t="shared" si="84"/>
        <v>45291</v>
      </c>
      <c r="AC264" s="1">
        <v>10</v>
      </c>
      <c r="AD264" s="1">
        <f t="shared" si="85"/>
        <v>0</v>
      </c>
      <c r="AE264" s="1">
        <f t="shared" si="86"/>
        <v>304</v>
      </c>
      <c r="AF264" s="1">
        <f t="shared" si="87"/>
        <v>0</v>
      </c>
      <c r="AG264" s="1">
        <f t="shared" si="88"/>
        <v>0</v>
      </c>
      <c r="AH264" s="1">
        <f t="shared" si="89"/>
        <v>0</v>
      </c>
      <c r="AI264" s="5">
        <f t="shared" si="90"/>
        <v>0.83287671232876714</v>
      </c>
      <c r="AJ264" s="5">
        <f t="shared" si="91"/>
        <v>0.74876847290640391</v>
      </c>
      <c r="AK264" s="5">
        <f t="shared" si="92"/>
        <v>7.4876847290640391</v>
      </c>
      <c r="AL264" s="5">
        <f t="shared" si="93"/>
        <v>14.975369458128078</v>
      </c>
      <c r="AM264" s="5">
        <f t="shared" si="94"/>
        <v>0</v>
      </c>
      <c r="AN264" s="5">
        <f t="shared" si="95"/>
        <v>14.975369458128078</v>
      </c>
      <c r="AO264" s="1" t="s">
        <v>122</v>
      </c>
    </row>
    <row r="265" spans="1:41" x14ac:dyDescent="0.25">
      <c r="A265" s="1" t="s">
        <v>19</v>
      </c>
      <c r="B265" s="1" t="s">
        <v>31</v>
      </c>
      <c r="C265" s="1" t="s">
        <v>21</v>
      </c>
      <c r="D265" s="1" t="s">
        <v>32</v>
      </c>
      <c r="E265" s="1" t="s">
        <v>172</v>
      </c>
      <c r="F265" s="1" t="s">
        <v>103</v>
      </c>
      <c r="G265" s="1" t="s">
        <v>114</v>
      </c>
      <c r="H265" s="1" t="s">
        <v>177</v>
      </c>
      <c r="I265" s="1" t="s">
        <v>174</v>
      </c>
      <c r="J265" s="1" t="s">
        <v>101</v>
      </c>
      <c r="K265" s="1" t="s">
        <v>175</v>
      </c>
      <c r="L265" s="1">
        <v>2957157</v>
      </c>
      <c r="M265" s="1" t="s">
        <v>440</v>
      </c>
      <c r="N265" s="8">
        <f>DATE(2023,3,3)</f>
        <v>44988</v>
      </c>
      <c r="O265" s="8">
        <f>DATE(2024,10,31)</f>
        <v>45596</v>
      </c>
      <c r="P265" s="1">
        <v>1200</v>
      </c>
      <c r="Q265" s="1">
        <v>1200</v>
      </c>
      <c r="R265" s="1">
        <f t="shared" si="78"/>
        <v>1200</v>
      </c>
      <c r="S265" s="1">
        <v>1</v>
      </c>
      <c r="U265" s="1">
        <f t="shared" si="79"/>
        <v>609</v>
      </c>
      <c r="V265" s="7">
        <f t="shared" si="80"/>
        <v>1.9704433497536946</v>
      </c>
      <c r="W265" s="7">
        <f t="shared" si="81"/>
        <v>719.21182266009851</v>
      </c>
      <c r="X265" s="7">
        <f t="shared" si="82"/>
        <v>0.89901477832512311</v>
      </c>
      <c r="AA265" s="8">
        <f t="shared" si="83"/>
        <v>44927</v>
      </c>
      <c r="AB265" s="8">
        <f t="shared" si="84"/>
        <v>45291</v>
      </c>
      <c r="AC265" s="1">
        <v>16</v>
      </c>
      <c r="AD265" s="1">
        <f t="shared" si="85"/>
        <v>0</v>
      </c>
      <c r="AE265" s="1">
        <f t="shared" si="86"/>
        <v>304</v>
      </c>
      <c r="AF265" s="1">
        <f t="shared" si="87"/>
        <v>0</v>
      </c>
      <c r="AG265" s="1">
        <f t="shared" si="88"/>
        <v>0</v>
      </c>
      <c r="AH265" s="1">
        <f t="shared" si="89"/>
        <v>0</v>
      </c>
      <c r="AI265" s="5">
        <f t="shared" si="90"/>
        <v>0.83287671232876714</v>
      </c>
      <c r="AJ265" s="5">
        <f t="shared" si="91"/>
        <v>0.74876847290640391</v>
      </c>
      <c r="AK265" s="5">
        <f t="shared" si="92"/>
        <v>11.980295566502463</v>
      </c>
      <c r="AL265" s="5">
        <f t="shared" si="93"/>
        <v>11.980295566502463</v>
      </c>
      <c r="AM265" s="5">
        <f t="shared" si="94"/>
        <v>0</v>
      </c>
      <c r="AN265" s="5">
        <f t="shared" si="95"/>
        <v>11.980295566502463</v>
      </c>
      <c r="AO265" s="1" t="s">
        <v>122</v>
      </c>
    </row>
    <row r="266" spans="1:41" x14ac:dyDescent="0.25">
      <c r="A266" s="1" t="s">
        <v>19</v>
      </c>
      <c r="B266" s="1" t="s">
        <v>31</v>
      </c>
      <c r="C266" s="1" t="s">
        <v>21</v>
      </c>
      <c r="D266" s="1" t="s">
        <v>32</v>
      </c>
      <c r="E266" s="1" t="s">
        <v>172</v>
      </c>
      <c r="F266" s="1" t="s">
        <v>103</v>
      </c>
      <c r="G266" s="1" t="s">
        <v>114</v>
      </c>
      <c r="H266" s="1" t="s">
        <v>179</v>
      </c>
      <c r="I266" s="1" t="s">
        <v>174</v>
      </c>
      <c r="J266" s="1" t="s">
        <v>101</v>
      </c>
      <c r="K266" s="1" t="s">
        <v>175</v>
      </c>
      <c r="L266" s="1">
        <v>2957160</v>
      </c>
      <c r="M266" s="1" t="s">
        <v>441</v>
      </c>
      <c r="N266" s="8">
        <f>DATE(2023,3,3)</f>
        <v>44988</v>
      </c>
      <c r="O266" s="8">
        <f>DATE(2024,10,31)</f>
        <v>45596</v>
      </c>
      <c r="P266" s="1">
        <v>1200</v>
      </c>
      <c r="Q266" s="1">
        <v>800</v>
      </c>
      <c r="R266" s="1">
        <f t="shared" si="78"/>
        <v>800</v>
      </c>
      <c r="S266" s="1">
        <v>1.5</v>
      </c>
      <c r="U266" s="1">
        <f t="shared" si="79"/>
        <v>609</v>
      </c>
      <c r="V266" s="7">
        <f t="shared" si="80"/>
        <v>1.3136288998357963</v>
      </c>
      <c r="W266" s="7">
        <f t="shared" si="81"/>
        <v>479.47454844006569</v>
      </c>
      <c r="X266" s="7">
        <f t="shared" si="82"/>
        <v>0.59934318555008215</v>
      </c>
      <c r="AA266" s="8">
        <f t="shared" si="83"/>
        <v>44927</v>
      </c>
      <c r="AB266" s="8">
        <f t="shared" si="84"/>
        <v>45291</v>
      </c>
      <c r="AC266" s="1">
        <v>3</v>
      </c>
      <c r="AD266" s="1">
        <f t="shared" si="85"/>
        <v>0</v>
      </c>
      <c r="AE266" s="1">
        <f t="shared" si="86"/>
        <v>304</v>
      </c>
      <c r="AF266" s="1">
        <f t="shared" si="87"/>
        <v>0</v>
      </c>
      <c r="AG266" s="1">
        <f t="shared" si="88"/>
        <v>0</v>
      </c>
      <c r="AH266" s="1">
        <f t="shared" si="89"/>
        <v>0</v>
      </c>
      <c r="AI266" s="5">
        <f t="shared" si="90"/>
        <v>0.83287671232876714</v>
      </c>
      <c r="AJ266" s="5">
        <f t="shared" si="91"/>
        <v>0.49917898193760268</v>
      </c>
      <c r="AK266" s="5">
        <f t="shared" si="92"/>
        <v>1.4975369458128081</v>
      </c>
      <c r="AL266" s="5">
        <f t="shared" si="93"/>
        <v>2.2463054187192122</v>
      </c>
      <c r="AM266" s="5">
        <f t="shared" si="94"/>
        <v>0</v>
      </c>
      <c r="AN266" s="5">
        <f t="shared" si="95"/>
        <v>2.2463054187192122</v>
      </c>
      <c r="AO266" s="1" t="s">
        <v>122</v>
      </c>
    </row>
    <row r="267" spans="1:41" x14ac:dyDescent="0.25">
      <c r="A267" s="1" t="s">
        <v>19</v>
      </c>
      <c r="B267" s="1" t="s">
        <v>31</v>
      </c>
      <c r="C267" s="1" t="s">
        <v>21</v>
      </c>
      <c r="D267" s="1" t="s">
        <v>32</v>
      </c>
      <c r="E267" s="1" t="s">
        <v>96</v>
      </c>
      <c r="F267" s="1" t="s">
        <v>103</v>
      </c>
      <c r="G267" s="1" t="s">
        <v>98</v>
      </c>
      <c r="H267" s="1" t="s">
        <v>355</v>
      </c>
      <c r="I267" s="1" t="s">
        <v>105</v>
      </c>
      <c r="J267" s="1" t="s">
        <v>106</v>
      </c>
      <c r="L267" s="1">
        <v>3011704</v>
      </c>
      <c r="M267" s="1" t="s">
        <v>442</v>
      </c>
      <c r="N267" s="8">
        <f>DATE(2023,7,26)</f>
        <v>45133</v>
      </c>
      <c r="O267" s="8">
        <f>DATE(2028,7,23)</f>
        <v>46957</v>
      </c>
      <c r="P267" s="1">
        <v>3683</v>
      </c>
      <c r="Q267" s="1">
        <v>3600</v>
      </c>
      <c r="R267" s="1">
        <f t="shared" si="78"/>
        <v>3600</v>
      </c>
      <c r="S267" s="1">
        <v>2.5</v>
      </c>
      <c r="U267" s="1">
        <f t="shared" si="79"/>
        <v>1825</v>
      </c>
      <c r="V267" s="7">
        <f t="shared" si="80"/>
        <v>1.9726027397260273</v>
      </c>
      <c r="W267" s="7">
        <f t="shared" si="81"/>
        <v>720</v>
      </c>
      <c r="X267" s="7">
        <f t="shared" si="82"/>
        <v>0.9</v>
      </c>
      <c r="AA267" s="8">
        <f t="shared" si="83"/>
        <v>44927</v>
      </c>
      <c r="AB267" s="8">
        <f t="shared" si="84"/>
        <v>45291</v>
      </c>
      <c r="AC267" s="1">
        <v>35</v>
      </c>
      <c r="AD267" s="1">
        <f t="shared" si="85"/>
        <v>0</v>
      </c>
      <c r="AE267" s="1">
        <f t="shared" si="86"/>
        <v>159</v>
      </c>
      <c r="AF267" s="1">
        <f t="shared" si="87"/>
        <v>0</v>
      </c>
      <c r="AG267" s="1">
        <f t="shared" si="88"/>
        <v>0</v>
      </c>
      <c r="AH267" s="1">
        <f t="shared" si="89"/>
        <v>0</v>
      </c>
      <c r="AI267" s="5">
        <f t="shared" si="90"/>
        <v>0.43561643835616437</v>
      </c>
      <c r="AJ267" s="5">
        <f t="shared" si="91"/>
        <v>0.39205479452054792</v>
      </c>
      <c r="AK267" s="5">
        <f t="shared" si="92"/>
        <v>13.721917808219178</v>
      </c>
      <c r="AL267" s="5">
        <f t="shared" si="93"/>
        <v>34.304794520547944</v>
      </c>
      <c r="AM267" s="5">
        <f t="shared" si="94"/>
        <v>17.152397260273972</v>
      </c>
      <c r="AN267" s="5">
        <f t="shared" si="95"/>
        <v>51.457191780821915</v>
      </c>
      <c r="AO267" s="1" t="s">
        <v>102</v>
      </c>
    </row>
    <row r="268" spans="1:41" x14ac:dyDescent="0.25">
      <c r="A268" s="1" t="s">
        <v>19</v>
      </c>
      <c r="B268" s="1" t="s">
        <v>35</v>
      </c>
      <c r="C268" s="1" t="s">
        <v>21</v>
      </c>
      <c r="D268" s="1" t="s">
        <v>36</v>
      </c>
      <c r="E268" s="1" t="s">
        <v>96</v>
      </c>
      <c r="F268" s="1" t="s">
        <v>103</v>
      </c>
      <c r="G268" s="1" t="s">
        <v>98</v>
      </c>
      <c r="H268" s="1" t="s">
        <v>355</v>
      </c>
      <c r="I268" s="1" t="s">
        <v>105</v>
      </c>
      <c r="J268" s="1" t="s">
        <v>106</v>
      </c>
      <c r="L268" s="1">
        <v>389982</v>
      </c>
      <c r="M268" s="1" t="s">
        <v>443</v>
      </c>
      <c r="N268" s="8">
        <f>DATE(2010,4,26)</f>
        <v>40294</v>
      </c>
      <c r="O268" s="8">
        <f>DATE(2014,12,22)</f>
        <v>41995</v>
      </c>
      <c r="P268" s="1">
        <v>4400</v>
      </c>
      <c r="Q268" s="1">
        <v>3600</v>
      </c>
      <c r="R268" s="1">
        <f t="shared" si="78"/>
        <v>3600</v>
      </c>
      <c r="S268" s="1">
        <v>2.5</v>
      </c>
      <c r="U268" s="1">
        <f t="shared" si="79"/>
        <v>1702</v>
      </c>
      <c r="V268" s="7">
        <f t="shared" si="80"/>
        <v>2.1151586368977675</v>
      </c>
      <c r="W268" s="7">
        <f t="shared" si="81"/>
        <v>772.03290246768518</v>
      </c>
      <c r="X268" s="7">
        <f t="shared" si="82"/>
        <v>0.96504112808460651</v>
      </c>
      <c r="AA268" s="8">
        <f t="shared" si="83"/>
        <v>44927</v>
      </c>
      <c r="AB268" s="8">
        <f t="shared" si="84"/>
        <v>45291</v>
      </c>
      <c r="AC268" s="1">
        <v>0</v>
      </c>
      <c r="AD268" s="1">
        <f t="shared" si="85"/>
        <v>0</v>
      </c>
      <c r="AE268" s="1">
        <f t="shared" si="86"/>
        <v>0</v>
      </c>
      <c r="AF268" s="1">
        <f t="shared" si="87"/>
        <v>0</v>
      </c>
      <c r="AG268" s="1">
        <f t="shared" si="88"/>
        <v>0</v>
      </c>
      <c r="AH268" s="1">
        <f t="shared" si="89"/>
        <v>182.5</v>
      </c>
      <c r="AI268" s="5">
        <f t="shared" si="90"/>
        <v>0.5</v>
      </c>
      <c r="AJ268" s="5">
        <f t="shared" si="91"/>
        <v>0.48252056404230326</v>
      </c>
      <c r="AK268" s="5">
        <f t="shared" si="92"/>
        <v>0</v>
      </c>
      <c r="AL268" s="5">
        <f t="shared" si="93"/>
        <v>0</v>
      </c>
      <c r="AM268" s="5">
        <f t="shared" si="94"/>
        <v>0</v>
      </c>
      <c r="AN268" s="5">
        <f t="shared" si="95"/>
        <v>0</v>
      </c>
      <c r="AO268" s="1" t="s">
        <v>102</v>
      </c>
    </row>
    <row r="269" spans="1:41" x14ac:dyDescent="0.25">
      <c r="A269" s="1" t="s">
        <v>19</v>
      </c>
      <c r="B269" s="1" t="s">
        <v>35</v>
      </c>
      <c r="C269" s="1" t="s">
        <v>21</v>
      </c>
      <c r="D269" s="1" t="s">
        <v>36</v>
      </c>
      <c r="E269" s="1" t="s">
        <v>96</v>
      </c>
      <c r="F269" s="1" t="s">
        <v>103</v>
      </c>
      <c r="G269" s="1" t="s">
        <v>98</v>
      </c>
      <c r="H269" s="1" t="s">
        <v>355</v>
      </c>
      <c r="I269" s="1" t="s">
        <v>105</v>
      </c>
      <c r="J269" s="1" t="s">
        <v>106</v>
      </c>
      <c r="L269" s="1">
        <v>802703</v>
      </c>
      <c r="M269" s="1" t="s">
        <v>444</v>
      </c>
      <c r="N269" s="8">
        <f>DATE(2011,3,1)</f>
        <v>40603</v>
      </c>
      <c r="O269" s="8">
        <f>DATE(2015,12,22)</f>
        <v>42360</v>
      </c>
      <c r="P269" s="1">
        <v>4840</v>
      </c>
      <c r="Q269" s="1">
        <v>3600</v>
      </c>
      <c r="R269" s="1">
        <f t="shared" si="78"/>
        <v>3600</v>
      </c>
      <c r="S269" s="1">
        <v>2.5</v>
      </c>
      <c r="U269" s="1">
        <f t="shared" si="79"/>
        <v>1758</v>
      </c>
      <c r="V269" s="7">
        <f t="shared" si="80"/>
        <v>2.0477815699658701</v>
      </c>
      <c r="W269" s="7">
        <f t="shared" si="81"/>
        <v>747.44027303754262</v>
      </c>
      <c r="X269" s="7">
        <f t="shared" si="82"/>
        <v>0.93430034129692829</v>
      </c>
      <c r="AA269" s="8">
        <f t="shared" si="83"/>
        <v>44927</v>
      </c>
      <c r="AB269" s="8">
        <f t="shared" si="84"/>
        <v>45291</v>
      </c>
      <c r="AC269" s="1">
        <v>2</v>
      </c>
      <c r="AD269" s="1">
        <f t="shared" si="85"/>
        <v>0</v>
      </c>
      <c r="AE269" s="1">
        <f t="shared" si="86"/>
        <v>0</v>
      </c>
      <c r="AF269" s="1">
        <f t="shared" si="87"/>
        <v>0</v>
      </c>
      <c r="AG269" s="1">
        <f t="shared" si="88"/>
        <v>0</v>
      </c>
      <c r="AH269" s="1">
        <f t="shared" si="89"/>
        <v>182.5</v>
      </c>
      <c r="AI269" s="5">
        <f t="shared" si="90"/>
        <v>0.5</v>
      </c>
      <c r="AJ269" s="5">
        <f t="shared" si="91"/>
        <v>0.46715017064846415</v>
      </c>
      <c r="AK269" s="5">
        <f t="shared" si="92"/>
        <v>0</v>
      </c>
      <c r="AL269" s="5">
        <f t="shared" si="93"/>
        <v>0</v>
      </c>
      <c r="AM269" s="5">
        <f t="shared" si="94"/>
        <v>0</v>
      </c>
      <c r="AN269" s="5">
        <f t="shared" si="95"/>
        <v>0</v>
      </c>
      <c r="AO269" s="1" t="s">
        <v>102</v>
      </c>
    </row>
    <row r="270" spans="1:41" x14ac:dyDescent="0.25">
      <c r="A270" s="1" t="s">
        <v>19</v>
      </c>
      <c r="B270" s="1" t="s">
        <v>35</v>
      </c>
      <c r="C270" s="1" t="s">
        <v>21</v>
      </c>
      <c r="D270" s="1" t="s">
        <v>36</v>
      </c>
      <c r="E270" s="1" t="s">
        <v>96</v>
      </c>
      <c r="F270" s="1" t="s">
        <v>103</v>
      </c>
      <c r="G270" s="1" t="s">
        <v>98</v>
      </c>
      <c r="H270" s="1" t="s">
        <v>355</v>
      </c>
      <c r="I270" s="1" t="s">
        <v>105</v>
      </c>
      <c r="J270" s="1" t="s">
        <v>106</v>
      </c>
      <c r="L270" s="1">
        <v>1207913</v>
      </c>
      <c r="M270" s="1" t="s">
        <v>445</v>
      </c>
      <c r="N270" s="8">
        <f>DATE(2012,3,20)</f>
        <v>40988</v>
      </c>
      <c r="O270" s="8">
        <f>DATE(2016,12,23)</f>
        <v>42727</v>
      </c>
      <c r="P270" s="1">
        <v>4840</v>
      </c>
      <c r="Q270" s="1">
        <v>3600</v>
      </c>
      <c r="R270" s="1">
        <f t="shared" si="78"/>
        <v>3600</v>
      </c>
      <c r="S270" s="1">
        <v>2.5</v>
      </c>
      <c r="U270" s="1">
        <f t="shared" si="79"/>
        <v>1740</v>
      </c>
      <c r="V270" s="7">
        <f t="shared" si="80"/>
        <v>2.0689655172413794</v>
      </c>
      <c r="W270" s="7">
        <f t="shared" si="81"/>
        <v>755.17241379310349</v>
      </c>
      <c r="X270" s="7">
        <f t="shared" si="82"/>
        <v>0.94396551724137934</v>
      </c>
      <c r="AA270" s="8">
        <f t="shared" si="83"/>
        <v>44927</v>
      </c>
      <c r="AB270" s="8">
        <f t="shared" si="84"/>
        <v>45291</v>
      </c>
      <c r="AC270" s="1">
        <v>1</v>
      </c>
      <c r="AD270" s="1">
        <f t="shared" si="85"/>
        <v>0</v>
      </c>
      <c r="AE270" s="1">
        <f t="shared" si="86"/>
        <v>0</v>
      </c>
      <c r="AF270" s="1">
        <f t="shared" si="87"/>
        <v>0</v>
      </c>
      <c r="AG270" s="1">
        <f t="shared" si="88"/>
        <v>0</v>
      </c>
      <c r="AH270" s="1">
        <f t="shared" si="89"/>
        <v>182.5</v>
      </c>
      <c r="AI270" s="5">
        <f t="shared" si="90"/>
        <v>0.5</v>
      </c>
      <c r="AJ270" s="5">
        <f t="shared" si="91"/>
        <v>0.47198275862068967</v>
      </c>
      <c r="AK270" s="5">
        <f t="shared" si="92"/>
        <v>0</v>
      </c>
      <c r="AL270" s="5">
        <f t="shared" si="93"/>
        <v>0</v>
      </c>
      <c r="AM270" s="5">
        <f t="shared" si="94"/>
        <v>0</v>
      </c>
      <c r="AN270" s="5">
        <f t="shared" si="95"/>
        <v>0</v>
      </c>
      <c r="AO270" s="1" t="s">
        <v>102</v>
      </c>
    </row>
    <row r="271" spans="1:41" x14ac:dyDescent="0.25">
      <c r="A271" s="1" t="s">
        <v>19</v>
      </c>
      <c r="B271" s="1" t="s">
        <v>35</v>
      </c>
      <c r="C271" s="1" t="s">
        <v>21</v>
      </c>
      <c r="D271" s="1" t="s">
        <v>36</v>
      </c>
      <c r="E271" s="1" t="s">
        <v>96</v>
      </c>
      <c r="F271" s="1" t="s">
        <v>103</v>
      </c>
      <c r="G271" s="1" t="s">
        <v>98</v>
      </c>
      <c r="H271" s="1" t="s">
        <v>355</v>
      </c>
      <c r="I271" s="1" t="s">
        <v>105</v>
      </c>
      <c r="J271" s="1" t="s">
        <v>106</v>
      </c>
      <c r="L271" s="1">
        <v>1846482</v>
      </c>
      <c r="M271" s="1" t="s">
        <v>446</v>
      </c>
      <c r="N271" s="8">
        <f>DATE(2013,5,6)</f>
        <v>41400</v>
      </c>
      <c r="O271" s="8">
        <f>DATE(2017,12,22)</f>
        <v>43091</v>
      </c>
      <c r="P271" s="1">
        <v>4840</v>
      </c>
      <c r="Q271" s="1">
        <v>3600</v>
      </c>
      <c r="R271" s="1">
        <f t="shared" si="78"/>
        <v>3600</v>
      </c>
      <c r="S271" s="1">
        <v>2.5</v>
      </c>
      <c r="U271" s="1">
        <f t="shared" si="79"/>
        <v>1692</v>
      </c>
      <c r="V271" s="7">
        <f t="shared" si="80"/>
        <v>2.1276595744680851</v>
      </c>
      <c r="W271" s="7">
        <f t="shared" si="81"/>
        <v>776.595744680851</v>
      </c>
      <c r="X271" s="7">
        <f t="shared" si="82"/>
        <v>0.9707446808510638</v>
      </c>
      <c r="AA271" s="8">
        <f t="shared" si="83"/>
        <v>44927</v>
      </c>
      <c r="AB271" s="8">
        <f t="shared" si="84"/>
        <v>45291</v>
      </c>
      <c r="AC271" s="1">
        <v>2</v>
      </c>
      <c r="AD271" s="1">
        <f t="shared" si="85"/>
        <v>0</v>
      </c>
      <c r="AE271" s="1">
        <f t="shared" si="86"/>
        <v>0</v>
      </c>
      <c r="AF271" s="1">
        <f t="shared" si="87"/>
        <v>0</v>
      </c>
      <c r="AG271" s="1">
        <f t="shared" si="88"/>
        <v>0</v>
      </c>
      <c r="AH271" s="1">
        <f t="shared" si="89"/>
        <v>182.5</v>
      </c>
      <c r="AI271" s="5">
        <f t="shared" si="90"/>
        <v>0.5</v>
      </c>
      <c r="AJ271" s="5">
        <f t="shared" si="91"/>
        <v>0.4853723404255319</v>
      </c>
      <c r="AK271" s="5">
        <f t="shared" si="92"/>
        <v>0</v>
      </c>
      <c r="AL271" s="5">
        <f t="shared" si="93"/>
        <v>0</v>
      </c>
      <c r="AM271" s="5">
        <f t="shared" si="94"/>
        <v>0</v>
      </c>
      <c r="AN271" s="5">
        <f t="shared" si="95"/>
        <v>0</v>
      </c>
      <c r="AO271" s="1" t="s">
        <v>102</v>
      </c>
    </row>
    <row r="272" spans="1:41" x14ac:dyDescent="0.25">
      <c r="A272" s="1" t="s">
        <v>19</v>
      </c>
      <c r="B272" s="1" t="s">
        <v>35</v>
      </c>
      <c r="C272" s="1" t="s">
        <v>21</v>
      </c>
      <c r="D272" s="1" t="s">
        <v>36</v>
      </c>
      <c r="E272" s="1" t="s">
        <v>96</v>
      </c>
      <c r="F272" s="1" t="s">
        <v>103</v>
      </c>
      <c r="G272" s="1" t="s">
        <v>320</v>
      </c>
      <c r="H272" s="1" t="s">
        <v>321</v>
      </c>
      <c r="I272" s="1" t="s">
        <v>174</v>
      </c>
      <c r="J272" s="1" t="s">
        <v>101</v>
      </c>
      <c r="L272" s="1">
        <v>1846631</v>
      </c>
      <c r="M272" s="1" t="s">
        <v>447</v>
      </c>
      <c r="N272" s="8">
        <f>DATE(2013,5,6)</f>
        <v>41400</v>
      </c>
      <c r="O272" s="8">
        <f>DATE(2016,12,23)</f>
        <v>42727</v>
      </c>
      <c r="P272" s="1">
        <v>3200</v>
      </c>
      <c r="Q272" s="1">
        <v>3200</v>
      </c>
      <c r="R272" s="1">
        <f t="shared" si="78"/>
        <v>3200</v>
      </c>
      <c r="S272" s="1">
        <v>2.5</v>
      </c>
      <c r="U272" s="1">
        <f t="shared" si="79"/>
        <v>1328</v>
      </c>
      <c r="V272" s="7">
        <f t="shared" si="80"/>
        <v>2.4096385542168677</v>
      </c>
      <c r="W272" s="7">
        <f t="shared" si="81"/>
        <v>879.51807228915675</v>
      </c>
      <c r="X272" s="7">
        <f t="shared" si="82"/>
        <v>1.0993975903614459</v>
      </c>
      <c r="AA272" s="8">
        <f t="shared" si="83"/>
        <v>44927</v>
      </c>
      <c r="AB272" s="8">
        <f t="shared" si="84"/>
        <v>45291</v>
      </c>
      <c r="AC272" s="1">
        <v>2</v>
      </c>
      <c r="AD272" s="1">
        <f t="shared" si="85"/>
        <v>0</v>
      </c>
      <c r="AE272" s="1">
        <f t="shared" si="86"/>
        <v>0</v>
      </c>
      <c r="AF272" s="1">
        <f t="shared" si="87"/>
        <v>0</v>
      </c>
      <c r="AG272" s="1">
        <f t="shared" si="88"/>
        <v>0</v>
      </c>
      <c r="AH272" s="1">
        <f t="shared" si="89"/>
        <v>182.5</v>
      </c>
      <c r="AI272" s="5">
        <f t="shared" si="90"/>
        <v>0.5</v>
      </c>
      <c r="AJ272" s="5">
        <f t="shared" si="91"/>
        <v>0.54969879518072295</v>
      </c>
      <c r="AK272" s="5">
        <f t="shared" si="92"/>
        <v>0</v>
      </c>
      <c r="AL272" s="5">
        <f t="shared" si="93"/>
        <v>0</v>
      </c>
      <c r="AM272" s="5">
        <f t="shared" si="94"/>
        <v>0</v>
      </c>
      <c r="AN272" s="5">
        <f t="shared" si="95"/>
        <v>0</v>
      </c>
      <c r="AO272" s="1" t="s">
        <v>102</v>
      </c>
    </row>
    <row r="273" spans="1:41" x14ac:dyDescent="0.25">
      <c r="A273" s="1" t="s">
        <v>19</v>
      </c>
      <c r="B273" s="1" t="s">
        <v>35</v>
      </c>
      <c r="C273" s="1" t="s">
        <v>21</v>
      </c>
      <c r="D273" s="1" t="s">
        <v>36</v>
      </c>
      <c r="E273" s="1" t="s">
        <v>96</v>
      </c>
      <c r="F273" s="1" t="s">
        <v>103</v>
      </c>
      <c r="G273" s="1" t="s">
        <v>114</v>
      </c>
      <c r="H273" s="1" t="s">
        <v>119</v>
      </c>
      <c r="I273" s="1" t="s">
        <v>105</v>
      </c>
      <c r="J273" s="1" t="s">
        <v>106</v>
      </c>
      <c r="K273" s="1" t="s">
        <v>116</v>
      </c>
      <c r="L273" s="1">
        <v>1938741</v>
      </c>
      <c r="M273" s="1" t="s">
        <v>448</v>
      </c>
      <c r="N273" s="8">
        <f>DATE(2014,3,31)</f>
        <v>41729</v>
      </c>
      <c r="O273" s="8">
        <f>DATE(2016,12,23)</f>
        <v>42727</v>
      </c>
      <c r="P273" s="1">
        <v>3924</v>
      </c>
      <c r="Q273" s="1">
        <v>1200</v>
      </c>
      <c r="R273" s="1">
        <f t="shared" si="78"/>
        <v>3200</v>
      </c>
      <c r="S273" s="1">
        <v>2.5</v>
      </c>
      <c r="U273" s="1">
        <f t="shared" si="79"/>
        <v>999</v>
      </c>
      <c r="V273" s="7">
        <f t="shared" si="80"/>
        <v>3.2032032032032034</v>
      </c>
      <c r="W273" s="7">
        <f t="shared" si="81"/>
        <v>1169.1691691691692</v>
      </c>
      <c r="X273" s="7">
        <f t="shared" si="82"/>
        <v>1.4614614614614616</v>
      </c>
      <c r="AA273" s="8">
        <f t="shared" si="83"/>
        <v>44927</v>
      </c>
      <c r="AB273" s="8">
        <f t="shared" si="84"/>
        <v>45291</v>
      </c>
      <c r="AC273" s="1">
        <v>0</v>
      </c>
      <c r="AD273" s="1">
        <f t="shared" si="85"/>
        <v>0</v>
      </c>
      <c r="AE273" s="1">
        <f t="shared" si="86"/>
        <v>0</v>
      </c>
      <c r="AF273" s="1">
        <f t="shared" si="87"/>
        <v>0</v>
      </c>
      <c r="AG273" s="1">
        <f t="shared" si="88"/>
        <v>0</v>
      </c>
      <c r="AH273" s="1">
        <f t="shared" si="89"/>
        <v>182.5</v>
      </c>
      <c r="AI273" s="5">
        <f t="shared" si="90"/>
        <v>0.5</v>
      </c>
      <c r="AJ273" s="5">
        <f t="shared" si="91"/>
        <v>0.7307307307307308</v>
      </c>
      <c r="AK273" s="5">
        <f t="shared" si="92"/>
        <v>0</v>
      </c>
      <c r="AL273" s="5">
        <f t="shared" si="93"/>
        <v>0</v>
      </c>
      <c r="AM273" s="5">
        <f t="shared" si="94"/>
        <v>0</v>
      </c>
      <c r="AN273" s="5">
        <f t="shared" si="95"/>
        <v>0</v>
      </c>
      <c r="AO273" s="1" t="s">
        <v>102</v>
      </c>
    </row>
    <row r="274" spans="1:41" x14ac:dyDescent="0.25">
      <c r="A274" s="1" t="s">
        <v>19</v>
      </c>
      <c r="B274" s="1" t="s">
        <v>35</v>
      </c>
      <c r="C274" s="1" t="s">
        <v>21</v>
      </c>
      <c r="D274" s="1" t="s">
        <v>36</v>
      </c>
      <c r="E274" s="1" t="s">
        <v>96</v>
      </c>
      <c r="F274" s="1" t="s">
        <v>103</v>
      </c>
      <c r="G274" s="1" t="s">
        <v>98</v>
      </c>
      <c r="H274" s="1" t="s">
        <v>355</v>
      </c>
      <c r="I274" s="1" t="s">
        <v>105</v>
      </c>
      <c r="J274" s="1" t="s">
        <v>106</v>
      </c>
      <c r="L274" s="1">
        <v>1938759</v>
      </c>
      <c r="M274" s="1" t="s">
        <v>449</v>
      </c>
      <c r="N274" s="8">
        <f>DATE(2014,3,31)</f>
        <v>41729</v>
      </c>
      <c r="O274" s="8">
        <f>DATE(2018,12,21)</f>
        <v>43455</v>
      </c>
      <c r="P274" s="1">
        <v>4840</v>
      </c>
      <c r="Q274" s="1">
        <v>3600</v>
      </c>
      <c r="R274" s="1">
        <f t="shared" si="78"/>
        <v>3600</v>
      </c>
      <c r="S274" s="1">
        <v>2.5</v>
      </c>
      <c r="U274" s="1">
        <f t="shared" si="79"/>
        <v>1727</v>
      </c>
      <c r="V274" s="7">
        <f t="shared" si="80"/>
        <v>2.0845396641574987</v>
      </c>
      <c r="W274" s="7">
        <f t="shared" si="81"/>
        <v>760.85697741748697</v>
      </c>
      <c r="X274" s="7">
        <f t="shared" si="82"/>
        <v>0.95107122177185877</v>
      </c>
      <c r="AA274" s="8">
        <f t="shared" si="83"/>
        <v>44927</v>
      </c>
      <c r="AB274" s="8">
        <f t="shared" si="84"/>
        <v>45291</v>
      </c>
      <c r="AC274" s="1">
        <v>3</v>
      </c>
      <c r="AD274" s="1">
        <f t="shared" si="85"/>
        <v>0</v>
      </c>
      <c r="AE274" s="1">
        <f t="shared" si="86"/>
        <v>0</v>
      </c>
      <c r="AF274" s="1">
        <f t="shared" si="87"/>
        <v>0</v>
      </c>
      <c r="AG274" s="1">
        <f t="shared" si="88"/>
        <v>0</v>
      </c>
      <c r="AH274" s="1">
        <f t="shared" si="89"/>
        <v>182.5</v>
      </c>
      <c r="AI274" s="5">
        <f t="shared" si="90"/>
        <v>0.5</v>
      </c>
      <c r="AJ274" s="5">
        <f t="shared" si="91"/>
        <v>0.47553561088592938</v>
      </c>
      <c r="AK274" s="5">
        <f t="shared" si="92"/>
        <v>0</v>
      </c>
      <c r="AL274" s="5">
        <f t="shared" si="93"/>
        <v>0</v>
      </c>
      <c r="AM274" s="5">
        <f t="shared" si="94"/>
        <v>0</v>
      </c>
      <c r="AN274" s="5">
        <f t="shared" si="95"/>
        <v>0</v>
      </c>
      <c r="AO274" s="1" t="s">
        <v>102</v>
      </c>
    </row>
    <row r="275" spans="1:41" x14ac:dyDescent="0.25">
      <c r="A275" s="1" t="s">
        <v>19</v>
      </c>
      <c r="B275" s="1" t="s">
        <v>35</v>
      </c>
      <c r="C275" s="1" t="s">
        <v>21</v>
      </c>
      <c r="D275" s="1" t="s">
        <v>36</v>
      </c>
      <c r="E275" s="1" t="s">
        <v>96</v>
      </c>
      <c r="F275" s="1" t="s">
        <v>103</v>
      </c>
      <c r="G275" s="1" t="s">
        <v>98</v>
      </c>
      <c r="H275" s="1" t="s">
        <v>355</v>
      </c>
      <c r="I275" s="1" t="s">
        <v>105</v>
      </c>
      <c r="J275" s="1" t="s">
        <v>106</v>
      </c>
      <c r="L275" s="1">
        <v>1985175</v>
      </c>
      <c r="M275" s="1" t="s">
        <v>450</v>
      </c>
      <c r="N275" s="8">
        <f>DATE(2015,3,2)</f>
        <v>42065</v>
      </c>
      <c r="O275" s="8">
        <f>DATE(2019,12,20)</f>
        <v>43819</v>
      </c>
      <c r="P275" s="1">
        <v>4080</v>
      </c>
      <c r="Q275" s="1">
        <v>3600</v>
      </c>
      <c r="R275" s="1">
        <f t="shared" si="78"/>
        <v>3600</v>
      </c>
      <c r="S275" s="1">
        <v>2.5</v>
      </c>
      <c r="U275" s="1">
        <f t="shared" si="79"/>
        <v>1755</v>
      </c>
      <c r="V275" s="7">
        <f t="shared" si="80"/>
        <v>2.0512820512820511</v>
      </c>
      <c r="W275" s="7">
        <f t="shared" si="81"/>
        <v>748.71794871794862</v>
      </c>
      <c r="X275" s="7">
        <f t="shared" si="82"/>
        <v>0.93589743589743579</v>
      </c>
      <c r="AA275" s="8">
        <f t="shared" si="83"/>
        <v>44927</v>
      </c>
      <c r="AB275" s="8">
        <f t="shared" si="84"/>
        <v>45291</v>
      </c>
      <c r="AC275" s="1">
        <v>2</v>
      </c>
      <c r="AD275" s="1">
        <f t="shared" si="85"/>
        <v>0</v>
      </c>
      <c r="AE275" s="1">
        <f t="shared" si="86"/>
        <v>0</v>
      </c>
      <c r="AF275" s="1">
        <f t="shared" si="87"/>
        <v>0</v>
      </c>
      <c r="AG275" s="1">
        <f t="shared" si="88"/>
        <v>0</v>
      </c>
      <c r="AH275" s="1">
        <f t="shared" si="89"/>
        <v>182.5</v>
      </c>
      <c r="AI275" s="5">
        <f t="shared" si="90"/>
        <v>0.5</v>
      </c>
      <c r="AJ275" s="5">
        <f t="shared" si="91"/>
        <v>0.4679487179487179</v>
      </c>
      <c r="AK275" s="5">
        <f t="shared" si="92"/>
        <v>0</v>
      </c>
      <c r="AL275" s="5">
        <f t="shared" si="93"/>
        <v>0</v>
      </c>
      <c r="AM275" s="5">
        <f t="shared" si="94"/>
        <v>0</v>
      </c>
      <c r="AN275" s="5">
        <f t="shared" si="95"/>
        <v>0</v>
      </c>
      <c r="AO275" s="1" t="s">
        <v>102</v>
      </c>
    </row>
    <row r="276" spans="1:41" x14ac:dyDescent="0.25">
      <c r="A276" s="1" t="s">
        <v>19</v>
      </c>
      <c r="B276" s="1" t="s">
        <v>35</v>
      </c>
      <c r="C276" s="1" t="s">
        <v>21</v>
      </c>
      <c r="D276" s="1" t="s">
        <v>36</v>
      </c>
      <c r="E276" s="1" t="s">
        <v>96</v>
      </c>
      <c r="F276" s="1" t="s">
        <v>103</v>
      </c>
      <c r="G276" s="1" t="s">
        <v>320</v>
      </c>
      <c r="H276" s="1" t="s">
        <v>451</v>
      </c>
      <c r="I276" s="1" t="s">
        <v>174</v>
      </c>
      <c r="J276" s="1" t="s">
        <v>101</v>
      </c>
      <c r="L276" s="1">
        <v>1985180</v>
      </c>
      <c r="M276" s="1" t="s">
        <v>452</v>
      </c>
      <c r="N276" s="8">
        <f>DATE(2015,3,2)</f>
        <v>42065</v>
      </c>
      <c r="O276" s="8">
        <f>DATE(2018,12,21)</f>
        <v>43455</v>
      </c>
      <c r="P276" s="1">
        <v>3144</v>
      </c>
      <c r="Q276" s="1">
        <v>3200</v>
      </c>
      <c r="R276" s="1">
        <f t="shared" si="78"/>
        <v>3200</v>
      </c>
      <c r="S276" s="1">
        <v>2.5</v>
      </c>
      <c r="U276" s="1">
        <f t="shared" si="79"/>
        <v>1391</v>
      </c>
      <c r="V276" s="7">
        <f t="shared" si="80"/>
        <v>2.2602444284687278</v>
      </c>
      <c r="W276" s="7">
        <f t="shared" si="81"/>
        <v>824.98921639108562</v>
      </c>
      <c r="X276" s="7">
        <f t="shared" si="82"/>
        <v>1.0312365204888569</v>
      </c>
      <c r="AA276" s="8">
        <f t="shared" si="83"/>
        <v>44927</v>
      </c>
      <c r="AB276" s="8">
        <f t="shared" si="84"/>
        <v>45291</v>
      </c>
      <c r="AC276" s="1">
        <v>1</v>
      </c>
      <c r="AD276" s="1">
        <f t="shared" si="85"/>
        <v>0</v>
      </c>
      <c r="AE276" s="1">
        <f t="shared" si="86"/>
        <v>0</v>
      </c>
      <c r="AF276" s="1">
        <f t="shared" si="87"/>
        <v>0</v>
      </c>
      <c r="AG276" s="1">
        <f t="shared" si="88"/>
        <v>0</v>
      </c>
      <c r="AH276" s="1">
        <f t="shared" si="89"/>
        <v>182.5</v>
      </c>
      <c r="AI276" s="5">
        <f t="shared" si="90"/>
        <v>0.5</v>
      </c>
      <c r="AJ276" s="5">
        <f t="shared" si="91"/>
        <v>0.51561826024442847</v>
      </c>
      <c r="AK276" s="5">
        <f t="shared" si="92"/>
        <v>0</v>
      </c>
      <c r="AL276" s="5">
        <f t="shared" si="93"/>
        <v>0</v>
      </c>
      <c r="AM276" s="5">
        <f t="shared" si="94"/>
        <v>0</v>
      </c>
      <c r="AN276" s="5">
        <f t="shared" si="95"/>
        <v>0</v>
      </c>
      <c r="AO276" s="1" t="s">
        <v>102</v>
      </c>
    </row>
    <row r="277" spans="1:41" x14ac:dyDescent="0.25">
      <c r="A277" s="1" t="s">
        <v>19</v>
      </c>
      <c r="B277" s="1" t="s">
        <v>35</v>
      </c>
      <c r="C277" s="1" t="s">
        <v>21</v>
      </c>
      <c r="D277" s="1" t="s">
        <v>36</v>
      </c>
      <c r="E277" s="1" t="s">
        <v>96</v>
      </c>
      <c r="F277" s="1" t="s">
        <v>103</v>
      </c>
      <c r="G277" s="1" t="s">
        <v>114</v>
      </c>
      <c r="H277" s="1" t="s">
        <v>453</v>
      </c>
      <c r="I277" s="1" t="s">
        <v>255</v>
      </c>
      <c r="J277" s="1" t="s">
        <v>106</v>
      </c>
      <c r="K277" s="1" t="s">
        <v>116</v>
      </c>
      <c r="L277" s="1">
        <v>2025842</v>
      </c>
      <c r="M277" s="1" t="s">
        <v>454</v>
      </c>
      <c r="N277" s="8">
        <f>DATE(2016,4,18)</f>
        <v>42478</v>
      </c>
      <c r="O277" s="8">
        <f>DATE(2018,12,21)</f>
        <v>43455</v>
      </c>
      <c r="P277" s="1">
        <v>3498</v>
      </c>
      <c r="Q277" s="1">
        <v>1000</v>
      </c>
      <c r="R277" s="1">
        <f t="shared" si="78"/>
        <v>3100</v>
      </c>
      <c r="S277" s="1">
        <v>2.5</v>
      </c>
      <c r="U277" s="1">
        <f t="shared" si="79"/>
        <v>978</v>
      </c>
      <c r="V277" s="7">
        <f t="shared" si="80"/>
        <v>3.1697341513292434</v>
      </c>
      <c r="W277" s="7">
        <f t="shared" si="81"/>
        <v>1156.9529652351739</v>
      </c>
      <c r="X277" s="7">
        <f t="shared" si="82"/>
        <v>1.4461912065439675</v>
      </c>
      <c r="AA277" s="8">
        <f t="shared" si="83"/>
        <v>44927</v>
      </c>
      <c r="AB277" s="8">
        <f t="shared" si="84"/>
        <v>45291</v>
      </c>
      <c r="AC277" s="1">
        <v>1</v>
      </c>
      <c r="AD277" s="1">
        <f t="shared" si="85"/>
        <v>0</v>
      </c>
      <c r="AE277" s="1">
        <f t="shared" si="86"/>
        <v>0</v>
      </c>
      <c r="AF277" s="1">
        <f t="shared" si="87"/>
        <v>0</v>
      </c>
      <c r="AG277" s="1">
        <f t="shared" si="88"/>
        <v>0</v>
      </c>
      <c r="AH277" s="1">
        <f t="shared" si="89"/>
        <v>182.5</v>
      </c>
      <c r="AI277" s="5">
        <f t="shared" si="90"/>
        <v>0.5</v>
      </c>
      <c r="AJ277" s="5">
        <f t="shared" si="91"/>
        <v>0.72309560327198374</v>
      </c>
      <c r="AK277" s="5">
        <f t="shared" si="92"/>
        <v>0</v>
      </c>
      <c r="AL277" s="5">
        <f t="shared" si="93"/>
        <v>0</v>
      </c>
      <c r="AM277" s="5">
        <f t="shared" si="94"/>
        <v>0</v>
      </c>
      <c r="AN277" s="5">
        <f t="shared" si="95"/>
        <v>0</v>
      </c>
      <c r="AO277" s="1" t="s">
        <v>102</v>
      </c>
    </row>
    <row r="278" spans="1:41" x14ac:dyDescent="0.25">
      <c r="A278" s="1" t="s">
        <v>19</v>
      </c>
      <c r="B278" s="1" t="s">
        <v>35</v>
      </c>
      <c r="C278" s="1" t="s">
        <v>21</v>
      </c>
      <c r="D278" s="1" t="s">
        <v>36</v>
      </c>
      <c r="E278" s="1" t="s">
        <v>96</v>
      </c>
      <c r="F278" s="1" t="s">
        <v>103</v>
      </c>
      <c r="G278" s="1" t="s">
        <v>98</v>
      </c>
      <c r="H278" s="1" t="s">
        <v>355</v>
      </c>
      <c r="I278" s="1" t="s">
        <v>105</v>
      </c>
      <c r="J278" s="1" t="s">
        <v>106</v>
      </c>
      <c r="L278" s="1">
        <v>2025882</v>
      </c>
      <c r="M278" s="1" t="s">
        <v>455</v>
      </c>
      <c r="N278" s="8">
        <f>DATE(2016,4,18)</f>
        <v>42478</v>
      </c>
      <c r="O278" s="8">
        <f>DATE(2020,12,23)</f>
        <v>44188</v>
      </c>
      <c r="P278" s="1">
        <v>4039</v>
      </c>
      <c r="Q278" s="1">
        <v>3600</v>
      </c>
      <c r="R278" s="1">
        <f t="shared" si="78"/>
        <v>3600</v>
      </c>
      <c r="S278" s="1">
        <v>2.5</v>
      </c>
      <c r="U278" s="1">
        <f t="shared" si="79"/>
        <v>1711</v>
      </c>
      <c r="V278" s="7">
        <f t="shared" si="80"/>
        <v>2.1040327293980128</v>
      </c>
      <c r="W278" s="7">
        <f t="shared" si="81"/>
        <v>767.97194623027463</v>
      </c>
      <c r="X278" s="7">
        <f t="shared" si="82"/>
        <v>0.95996493278784323</v>
      </c>
      <c r="AA278" s="8">
        <f t="shared" si="83"/>
        <v>44927</v>
      </c>
      <c r="AB278" s="8">
        <f t="shared" si="84"/>
        <v>45291</v>
      </c>
      <c r="AC278" s="1">
        <v>12</v>
      </c>
      <c r="AD278" s="1">
        <f t="shared" si="85"/>
        <v>0</v>
      </c>
      <c r="AE278" s="1">
        <f t="shared" si="86"/>
        <v>0</v>
      </c>
      <c r="AF278" s="1">
        <f t="shared" si="87"/>
        <v>0</v>
      </c>
      <c r="AG278" s="1">
        <f t="shared" si="88"/>
        <v>0</v>
      </c>
      <c r="AH278" s="1">
        <f t="shared" si="89"/>
        <v>182.5</v>
      </c>
      <c r="AI278" s="5">
        <f t="shared" si="90"/>
        <v>0.5</v>
      </c>
      <c r="AJ278" s="5">
        <f t="shared" si="91"/>
        <v>0.47998246639392161</v>
      </c>
      <c r="AK278" s="5">
        <f t="shared" si="92"/>
        <v>2.8798947983635297</v>
      </c>
      <c r="AL278" s="5">
        <f t="shared" si="93"/>
        <v>7.1997369959088244</v>
      </c>
      <c r="AM278" s="5">
        <f t="shared" si="94"/>
        <v>3.5998684979544122</v>
      </c>
      <c r="AN278" s="5">
        <f t="shared" si="95"/>
        <v>10.799605493863236</v>
      </c>
      <c r="AO278" s="1" t="s">
        <v>102</v>
      </c>
    </row>
    <row r="279" spans="1:41" x14ac:dyDescent="0.25">
      <c r="A279" s="1" t="s">
        <v>19</v>
      </c>
      <c r="B279" s="1" t="s">
        <v>35</v>
      </c>
      <c r="C279" s="1" t="s">
        <v>21</v>
      </c>
      <c r="D279" s="1" t="s">
        <v>36</v>
      </c>
      <c r="E279" s="1" t="s">
        <v>96</v>
      </c>
      <c r="F279" s="1" t="s">
        <v>103</v>
      </c>
      <c r="G279" s="1" t="s">
        <v>320</v>
      </c>
      <c r="H279" s="1" t="s">
        <v>456</v>
      </c>
      <c r="I279" s="1" t="s">
        <v>174</v>
      </c>
      <c r="J279" s="1" t="s">
        <v>101</v>
      </c>
      <c r="L279" s="1">
        <v>2025924</v>
      </c>
      <c r="M279" s="1" t="s">
        <v>457</v>
      </c>
      <c r="N279" s="8">
        <f>DATE(2016,4,18)</f>
        <v>42478</v>
      </c>
      <c r="O279" s="8">
        <f>DATE(2019,12,23)</f>
        <v>43822</v>
      </c>
      <c r="P279" s="1">
        <v>3144</v>
      </c>
      <c r="Q279" s="1">
        <v>3200</v>
      </c>
      <c r="R279" s="1">
        <f t="shared" si="78"/>
        <v>3200</v>
      </c>
      <c r="S279" s="1">
        <v>2.5</v>
      </c>
      <c r="U279" s="1">
        <f t="shared" si="79"/>
        <v>1345</v>
      </c>
      <c r="V279" s="7">
        <f t="shared" si="80"/>
        <v>2.3375464684014871</v>
      </c>
      <c r="W279" s="7">
        <f t="shared" si="81"/>
        <v>853.2044609665428</v>
      </c>
      <c r="X279" s="7">
        <f t="shared" si="82"/>
        <v>1.0665055762081785</v>
      </c>
      <c r="AA279" s="8">
        <f t="shared" si="83"/>
        <v>44927</v>
      </c>
      <c r="AB279" s="8">
        <f t="shared" si="84"/>
        <v>45291</v>
      </c>
      <c r="AC279" s="1">
        <v>1</v>
      </c>
      <c r="AD279" s="1">
        <f t="shared" si="85"/>
        <v>0</v>
      </c>
      <c r="AE279" s="1">
        <f t="shared" si="86"/>
        <v>0</v>
      </c>
      <c r="AF279" s="1">
        <f t="shared" si="87"/>
        <v>0</v>
      </c>
      <c r="AG279" s="1">
        <f t="shared" si="88"/>
        <v>0</v>
      </c>
      <c r="AH279" s="1">
        <f t="shared" si="89"/>
        <v>182.5</v>
      </c>
      <c r="AI279" s="5">
        <f t="shared" si="90"/>
        <v>0.5</v>
      </c>
      <c r="AJ279" s="5">
        <f t="shared" si="91"/>
        <v>0.53325278810408927</v>
      </c>
      <c r="AK279" s="5">
        <f t="shared" si="92"/>
        <v>0</v>
      </c>
      <c r="AL279" s="5">
        <f t="shared" si="93"/>
        <v>0</v>
      </c>
      <c r="AM279" s="5">
        <f t="shared" si="94"/>
        <v>0</v>
      </c>
      <c r="AN279" s="5">
        <f t="shared" si="95"/>
        <v>0</v>
      </c>
      <c r="AO279" s="1" t="s">
        <v>102</v>
      </c>
    </row>
    <row r="280" spans="1:41" x14ac:dyDescent="0.25">
      <c r="A280" s="1" t="s">
        <v>19</v>
      </c>
      <c r="B280" s="1" t="s">
        <v>35</v>
      </c>
      <c r="C280" s="1" t="s">
        <v>21</v>
      </c>
      <c r="D280" s="1" t="s">
        <v>36</v>
      </c>
      <c r="E280" s="1" t="s">
        <v>96</v>
      </c>
      <c r="F280" s="1" t="s">
        <v>103</v>
      </c>
      <c r="G280" s="1" t="s">
        <v>320</v>
      </c>
      <c r="H280" s="1" t="s">
        <v>451</v>
      </c>
      <c r="I280" s="1" t="s">
        <v>174</v>
      </c>
      <c r="J280" s="1" t="s">
        <v>101</v>
      </c>
      <c r="L280" s="1">
        <v>2025926</v>
      </c>
      <c r="M280" s="1" t="s">
        <v>458</v>
      </c>
      <c r="N280" s="8">
        <f>DATE(2016,4,18)</f>
        <v>42478</v>
      </c>
      <c r="O280" s="8">
        <f>DATE(2019,12,23)</f>
        <v>43822</v>
      </c>
      <c r="P280" s="1">
        <v>3144</v>
      </c>
      <c r="Q280" s="1">
        <v>3200</v>
      </c>
      <c r="R280" s="1">
        <f t="shared" si="78"/>
        <v>3200</v>
      </c>
      <c r="S280" s="1">
        <v>2.5</v>
      </c>
      <c r="U280" s="1">
        <f t="shared" si="79"/>
        <v>1345</v>
      </c>
      <c r="V280" s="7">
        <f t="shared" si="80"/>
        <v>2.3375464684014871</v>
      </c>
      <c r="W280" s="7">
        <f t="shared" si="81"/>
        <v>853.2044609665428</v>
      </c>
      <c r="X280" s="7">
        <f t="shared" si="82"/>
        <v>1.0665055762081785</v>
      </c>
      <c r="AA280" s="8">
        <f t="shared" si="83"/>
        <v>44927</v>
      </c>
      <c r="AB280" s="8">
        <f t="shared" si="84"/>
        <v>45291</v>
      </c>
      <c r="AC280" s="1">
        <v>3</v>
      </c>
      <c r="AD280" s="1">
        <f t="shared" si="85"/>
        <v>0</v>
      </c>
      <c r="AE280" s="1">
        <f t="shared" si="86"/>
        <v>0</v>
      </c>
      <c r="AF280" s="1">
        <f t="shared" si="87"/>
        <v>0</v>
      </c>
      <c r="AG280" s="1">
        <f t="shared" si="88"/>
        <v>0</v>
      </c>
      <c r="AH280" s="1">
        <f t="shared" si="89"/>
        <v>182.5</v>
      </c>
      <c r="AI280" s="5">
        <f t="shared" si="90"/>
        <v>0.5</v>
      </c>
      <c r="AJ280" s="5">
        <f t="shared" si="91"/>
        <v>0.53325278810408927</v>
      </c>
      <c r="AK280" s="5">
        <f t="shared" si="92"/>
        <v>0</v>
      </c>
      <c r="AL280" s="5">
        <f t="shared" si="93"/>
        <v>0</v>
      </c>
      <c r="AM280" s="5">
        <f t="shared" si="94"/>
        <v>0</v>
      </c>
      <c r="AN280" s="5">
        <f t="shared" si="95"/>
        <v>0</v>
      </c>
      <c r="AO280" s="1" t="s">
        <v>102</v>
      </c>
    </row>
    <row r="281" spans="1:41" x14ac:dyDescent="0.25">
      <c r="A281" s="1" t="s">
        <v>19</v>
      </c>
      <c r="B281" s="1" t="s">
        <v>35</v>
      </c>
      <c r="C281" s="1" t="s">
        <v>21</v>
      </c>
      <c r="D281" s="1" t="s">
        <v>36</v>
      </c>
      <c r="E281" s="1" t="s">
        <v>96</v>
      </c>
      <c r="F281" s="1" t="s">
        <v>103</v>
      </c>
      <c r="G281" s="1" t="s">
        <v>114</v>
      </c>
      <c r="H281" s="1" t="s">
        <v>119</v>
      </c>
      <c r="I281" s="1" t="s">
        <v>105</v>
      </c>
      <c r="J281" s="1" t="s">
        <v>106</v>
      </c>
      <c r="K281" s="1" t="s">
        <v>116</v>
      </c>
      <c r="L281" s="1">
        <v>2151756</v>
      </c>
      <c r="M281" s="1" t="s">
        <v>459</v>
      </c>
      <c r="N281" s="8">
        <f>DATE(2017,2,20)</f>
        <v>42786</v>
      </c>
      <c r="O281" s="8">
        <f>DATE(2019,12,20)</f>
        <v>43819</v>
      </c>
      <c r="P281" s="1">
        <v>3924</v>
      </c>
      <c r="Q281" s="1">
        <v>1200</v>
      </c>
      <c r="R281" s="1">
        <f t="shared" si="78"/>
        <v>3200</v>
      </c>
      <c r="S281" s="1">
        <v>2.5</v>
      </c>
      <c r="U281" s="1">
        <f t="shared" si="79"/>
        <v>1034</v>
      </c>
      <c r="V281" s="7">
        <f t="shared" si="80"/>
        <v>3.094777562862669</v>
      </c>
      <c r="W281" s="7">
        <f t="shared" si="81"/>
        <v>1129.5938104448742</v>
      </c>
      <c r="X281" s="7">
        <f t="shared" si="82"/>
        <v>1.4119922630560928</v>
      </c>
      <c r="AA281" s="8">
        <f t="shared" si="83"/>
        <v>44927</v>
      </c>
      <c r="AB281" s="8">
        <f t="shared" si="84"/>
        <v>45291</v>
      </c>
      <c r="AC281" s="1">
        <v>2</v>
      </c>
      <c r="AD281" s="1">
        <f t="shared" si="85"/>
        <v>0</v>
      </c>
      <c r="AE281" s="1">
        <f t="shared" si="86"/>
        <v>0</v>
      </c>
      <c r="AF281" s="1">
        <f t="shared" si="87"/>
        <v>0</v>
      </c>
      <c r="AG281" s="1">
        <f t="shared" si="88"/>
        <v>0</v>
      </c>
      <c r="AH281" s="1">
        <f t="shared" si="89"/>
        <v>182.5</v>
      </c>
      <c r="AI281" s="5">
        <f t="shared" si="90"/>
        <v>0.5</v>
      </c>
      <c r="AJ281" s="5">
        <f t="shared" si="91"/>
        <v>0.70599613152804641</v>
      </c>
      <c r="AK281" s="5">
        <f t="shared" si="92"/>
        <v>0</v>
      </c>
      <c r="AL281" s="5">
        <f t="shared" si="93"/>
        <v>0</v>
      </c>
      <c r="AM281" s="5">
        <f t="shared" si="94"/>
        <v>0</v>
      </c>
      <c r="AN281" s="5">
        <f t="shared" si="95"/>
        <v>0</v>
      </c>
      <c r="AO281" s="1" t="s">
        <v>102</v>
      </c>
    </row>
    <row r="282" spans="1:41" x14ac:dyDescent="0.25">
      <c r="A282" s="1" t="s">
        <v>19</v>
      </c>
      <c r="B282" s="1" t="s">
        <v>35</v>
      </c>
      <c r="C282" s="1" t="s">
        <v>21</v>
      </c>
      <c r="D282" s="1" t="s">
        <v>36</v>
      </c>
      <c r="E282" s="1" t="s">
        <v>96</v>
      </c>
      <c r="F282" s="1" t="s">
        <v>103</v>
      </c>
      <c r="G282" s="1" t="s">
        <v>98</v>
      </c>
      <c r="H282" s="1" t="s">
        <v>355</v>
      </c>
      <c r="I282" s="1" t="s">
        <v>105</v>
      </c>
      <c r="J282" s="1" t="s">
        <v>106</v>
      </c>
      <c r="L282" s="1">
        <v>2151757</v>
      </c>
      <c r="M282" s="1" t="s">
        <v>460</v>
      </c>
      <c r="N282" s="8">
        <f>DATE(2017,5,15)</f>
        <v>42870</v>
      </c>
      <c r="O282" s="8">
        <f>DATE(2021,12,20)</f>
        <v>44550</v>
      </c>
      <c r="P282" s="1">
        <v>4035</v>
      </c>
      <c r="Q282" s="1">
        <v>3600</v>
      </c>
      <c r="R282" s="1">
        <f t="shared" si="78"/>
        <v>3600</v>
      </c>
      <c r="S282" s="1">
        <v>2.5</v>
      </c>
      <c r="U282" s="1">
        <f t="shared" si="79"/>
        <v>1681</v>
      </c>
      <c r="V282" s="7">
        <f t="shared" si="80"/>
        <v>2.1415823914336705</v>
      </c>
      <c r="W282" s="7">
        <f t="shared" si="81"/>
        <v>781.67757287328971</v>
      </c>
      <c r="X282" s="7">
        <f t="shared" si="82"/>
        <v>0.97709696609161212</v>
      </c>
      <c r="AA282" s="8">
        <f t="shared" si="83"/>
        <v>44927</v>
      </c>
      <c r="AB282" s="8">
        <f t="shared" si="84"/>
        <v>45291</v>
      </c>
      <c r="AC282" s="1">
        <v>20</v>
      </c>
      <c r="AD282" s="1">
        <f t="shared" si="85"/>
        <v>0</v>
      </c>
      <c r="AE282" s="1">
        <f t="shared" si="86"/>
        <v>0</v>
      </c>
      <c r="AF282" s="1">
        <f t="shared" si="87"/>
        <v>0</v>
      </c>
      <c r="AG282" s="1">
        <f t="shared" si="88"/>
        <v>0</v>
      </c>
      <c r="AH282" s="1">
        <f t="shared" si="89"/>
        <v>182.5</v>
      </c>
      <c r="AI282" s="5">
        <f t="shared" si="90"/>
        <v>0.5</v>
      </c>
      <c r="AJ282" s="5">
        <f t="shared" si="91"/>
        <v>0.48854848304580606</v>
      </c>
      <c r="AK282" s="5">
        <f t="shared" si="92"/>
        <v>4.8854848304580605</v>
      </c>
      <c r="AL282" s="5">
        <f t="shared" si="93"/>
        <v>12.213712076145152</v>
      </c>
      <c r="AM282" s="5">
        <f t="shared" si="94"/>
        <v>6.1068560380725758</v>
      </c>
      <c r="AN282" s="5">
        <f t="shared" si="95"/>
        <v>18.320568114217728</v>
      </c>
      <c r="AO282" s="1" t="s">
        <v>102</v>
      </c>
    </row>
    <row r="283" spans="1:41" x14ac:dyDescent="0.25">
      <c r="A283" s="1" t="s">
        <v>19</v>
      </c>
      <c r="B283" s="1" t="s">
        <v>35</v>
      </c>
      <c r="C283" s="1" t="s">
        <v>21</v>
      </c>
      <c r="D283" s="1" t="s">
        <v>36</v>
      </c>
      <c r="E283" s="1" t="s">
        <v>96</v>
      </c>
      <c r="F283" s="1" t="s">
        <v>103</v>
      </c>
      <c r="G283" s="1" t="s">
        <v>320</v>
      </c>
      <c r="H283" s="1" t="s">
        <v>456</v>
      </c>
      <c r="I283" s="1" t="s">
        <v>174</v>
      </c>
      <c r="J283" s="1" t="s">
        <v>101</v>
      </c>
      <c r="L283" s="1">
        <v>2151758</v>
      </c>
      <c r="M283" s="1" t="s">
        <v>461</v>
      </c>
      <c r="N283" s="8">
        <f>DATE(2017,5,15)</f>
        <v>42870</v>
      </c>
      <c r="O283" s="8">
        <f>DATE(2020,12,21)</f>
        <v>44186</v>
      </c>
      <c r="P283" s="1">
        <v>3144</v>
      </c>
      <c r="Q283" s="1">
        <v>3200</v>
      </c>
      <c r="R283" s="1">
        <f t="shared" si="78"/>
        <v>3200</v>
      </c>
      <c r="S283" s="1">
        <v>2.5</v>
      </c>
      <c r="U283" s="1">
        <f t="shared" si="79"/>
        <v>1317</v>
      </c>
      <c r="V283" s="7">
        <f t="shared" si="80"/>
        <v>2.3872437357630978</v>
      </c>
      <c r="W283" s="7">
        <f t="shared" si="81"/>
        <v>871.34396355353067</v>
      </c>
      <c r="X283" s="7">
        <f t="shared" si="82"/>
        <v>1.0891799544419134</v>
      </c>
      <c r="AA283" s="8">
        <f t="shared" si="83"/>
        <v>44927</v>
      </c>
      <c r="AB283" s="8">
        <f t="shared" si="84"/>
        <v>45291</v>
      </c>
      <c r="AC283" s="1">
        <v>4</v>
      </c>
      <c r="AD283" s="1">
        <f t="shared" si="85"/>
        <v>0</v>
      </c>
      <c r="AE283" s="1">
        <f t="shared" si="86"/>
        <v>0</v>
      </c>
      <c r="AF283" s="1">
        <f t="shared" si="87"/>
        <v>0</v>
      </c>
      <c r="AG283" s="1">
        <f t="shared" si="88"/>
        <v>0</v>
      </c>
      <c r="AH283" s="1">
        <f t="shared" si="89"/>
        <v>182.5</v>
      </c>
      <c r="AI283" s="5">
        <f t="shared" si="90"/>
        <v>0.5</v>
      </c>
      <c r="AJ283" s="5">
        <f t="shared" si="91"/>
        <v>0.5445899772209567</v>
      </c>
      <c r="AK283" s="5">
        <f t="shared" si="92"/>
        <v>1.0891799544419134</v>
      </c>
      <c r="AL283" s="5">
        <f t="shared" si="93"/>
        <v>2.7229498861047836</v>
      </c>
      <c r="AM283" s="5">
        <f t="shared" si="94"/>
        <v>0</v>
      </c>
      <c r="AN283" s="5">
        <f t="shared" si="95"/>
        <v>2.7229498861047836</v>
      </c>
      <c r="AO283" s="1" t="s">
        <v>102</v>
      </c>
    </row>
    <row r="284" spans="1:41" x14ac:dyDescent="0.25">
      <c r="A284" s="1" t="s">
        <v>19</v>
      </c>
      <c r="B284" s="1" t="s">
        <v>35</v>
      </c>
      <c r="C284" s="1" t="s">
        <v>21</v>
      </c>
      <c r="D284" s="1" t="s">
        <v>36</v>
      </c>
      <c r="E284" s="1" t="s">
        <v>96</v>
      </c>
      <c r="F284" s="1" t="s">
        <v>103</v>
      </c>
      <c r="G284" s="1" t="s">
        <v>320</v>
      </c>
      <c r="H284" s="1" t="s">
        <v>321</v>
      </c>
      <c r="I284" s="1" t="s">
        <v>174</v>
      </c>
      <c r="J284" s="1" t="s">
        <v>101</v>
      </c>
      <c r="L284" s="1">
        <v>2151760</v>
      </c>
      <c r="M284" s="1" t="s">
        <v>462</v>
      </c>
      <c r="N284" s="8">
        <f>DATE(2017,5,15)</f>
        <v>42870</v>
      </c>
      <c r="O284" s="8">
        <f>DATE(2020,12,21)</f>
        <v>44186</v>
      </c>
      <c r="P284" s="1">
        <v>3144</v>
      </c>
      <c r="Q284" s="1">
        <v>3200</v>
      </c>
      <c r="R284" s="1">
        <f t="shared" si="78"/>
        <v>3200</v>
      </c>
      <c r="S284" s="1">
        <v>2.5</v>
      </c>
      <c r="U284" s="1">
        <f t="shared" si="79"/>
        <v>1317</v>
      </c>
      <c r="V284" s="7">
        <f t="shared" si="80"/>
        <v>2.3872437357630978</v>
      </c>
      <c r="W284" s="7">
        <f t="shared" si="81"/>
        <v>871.34396355353067</v>
      </c>
      <c r="X284" s="7">
        <f t="shared" si="82"/>
        <v>1.0891799544419134</v>
      </c>
      <c r="AA284" s="8">
        <f t="shared" si="83"/>
        <v>44927</v>
      </c>
      <c r="AB284" s="8">
        <f t="shared" si="84"/>
        <v>45291</v>
      </c>
      <c r="AC284" s="1">
        <v>3</v>
      </c>
      <c r="AD284" s="1">
        <f t="shared" si="85"/>
        <v>0</v>
      </c>
      <c r="AE284" s="1">
        <f t="shared" si="86"/>
        <v>0</v>
      </c>
      <c r="AF284" s="1">
        <f t="shared" si="87"/>
        <v>0</v>
      </c>
      <c r="AG284" s="1">
        <f t="shared" si="88"/>
        <v>0</v>
      </c>
      <c r="AH284" s="1">
        <f t="shared" si="89"/>
        <v>182.5</v>
      </c>
      <c r="AI284" s="5">
        <f t="shared" si="90"/>
        <v>0.5</v>
      </c>
      <c r="AJ284" s="5">
        <f t="shared" si="91"/>
        <v>0.5445899772209567</v>
      </c>
      <c r="AK284" s="5">
        <f t="shared" si="92"/>
        <v>0.81688496583143499</v>
      </c>
      <c r="AL284" s="5">
        <f t="shared" si="93"/>
        <v>2.0422124145785876</v>
      </c>
      <c r="AM284" s="5">
        <f t="shared" si="94"/>
        <v>0</v>
      </c>
      <c r="AN284" s="5">
        <f t="shared" si="95"/>
        <v>2.0422124145785876</v>
      </c>
      <c r="AO284" s="1" t="s">
        <v>102</v>
      </c>
    </row>
    <row r="285" spans="1:41" x14ac:dyDescent="0.25">
      <c r="A285" s="1" t="s">
        <v>19</v>
      </c>
      <c r="B285" s="1" t="s">
        <v>35</v>
      </c>
      <c r="C285" s="1" t="s">
        <v>21</v>
      </c>
      <c r="D285" s="1" t="s">
        <v>36</v>
      </c>
      <c r="E285" s="1" t="s">
        <v>96</v>
      </c>
      <c r="F285" s="1" t="s">
        <v>103</v>
      </c>
      <c r="G285" s="1" t="s">
        <v>320</v>
      </c>
      <c r="H285" s="1" t="s">
        <v>451</v>
      </c>
      <c r="I285" s="1" t="s">
        <v>174</v>
      </c>
      <c r="J285" s="1" t="s">
        <v>101</v>
      </c>
      <c r="L285" s="1">
        <v>2151761</v>
      </c>
      <c r="M285" s="1" t="s">
        <v>463</v>
      </c>
      <c r="N285" s="8">
        <f>DATE(2017,5,15)</f>
        <v>42870</v>
      </c>
      <c r="O285" s="8">
        <f>DATE(2020,12,21)</f>
        <v>44186</v>
      </c>
      <c r="P285" s="1">
        <v>3144</v>
      </c>
      <c r="Q285" s="1">
        <v>3200</v>
      </c>
      <c r="R285" s="1">
        <f t="shared" si="78"/>
        <v>3200</v>
      </c>
      <c r="S285" s="1">
        <v>2.5</v>
      </c>
      <c r="U285" s="1">
        <f t="shared" si="79"/>
        <v>1317</v>
      </c>
      <c r="V285" s="7">
        <f t="shared" si="80"/>
        <v>2.3872437357630978</v>
      </c>
      <c r="W285" s="7">
        <f t="shared" si="81"/>
        <v>871.34396355353067</v>
      </c>
      <c r="X285" s="7">
        <f t="shared" si="82"/>
        <v>1.0891799544419134</v>
      </c>
      <c r="AA285" s="8">
        <f t="shared" si="83"/>
        <v>44927</v>
      </c>
      <c r="AB285" s="8">
        <f t="shared" si="84"/>
        <v>45291</v>
      </c>
      <c r="AC285" s="1">
        <v>1</v>
      </c>
      <c r="AD285" s="1">
        <f t="shared" si="85"/>
        <v>0</v>
      </c>
      <c r="AE285" s="1">
        <f t="shared" si="86"/>
        <v>0</v>
      </c>
      <c r="AF285" s="1">
        <f t="shared" si="87"/>
        <v>0</v>
      </c>
      <c r="AG285" s="1">
        <f t="shared" si="88"/>
        <v>0</v>
      </c>
      <c r="AH285" s="1">
        <f t="shared" si="89"/>
        <v>182.5</v>
      </c>
      <c r="AI285" s="5">
        <f t="shared" si="90"/>
        <v>0.5</v>
      </c>
      <c r="AJ285" s="5">
        <f t="shared" si="91"/>
        <v>0.5445899772209567</v>
      </c>
      <c r="AK285" s="5">
        <f t="shared" si="92"/>
        <v>0.27229498861047835</v>
      </c>
      <c r="AL285" s="5">
        <f t="shared" si="93"/>
        <v>0.6807374715261959</v>
      </c>
      <c r="AM285" s="5">
        <f t="shared" si="94"/>
        <v>0</v>
      </c>
      <c r="AN285" s="5">
        <f t="shared" si="95"/>
        <v>0.6807374715261959</v>
      </c>
      <c r="AO285" s="1" t="s">
        <v>102</v>
      </c>
    </row>
    <row r="286" spans="1:41" x14ac:dyDescent="0.25">
      <c r="A286" s="1" t="s">
        <v>19</v>
      </c>
      <c r="B286" s="1" t="s">
        <v>35</v>
      </c>
      <c r="C286" s="1" t="s">
        <v>21</v>
      </c>
      <c r="D286" s="1" t="s">
        <v>36</v>
      </c>
      <c r="E286" s="1" t="s">
        <v>96</v>
      </c>
      <c r="F286" s="1" t="s">
        <v>103</v>
      </c>
      <c r="G286" s="1" t="s">
        <v>114</v>
      </c>
      <c r="H286" s="1" t="s">
        <v>214</v>
      </c>
      <c r="I286" s="1" t="s">
        <v>100</v>
      </c>
      <c r="J286" s="1" t="s">
        <v>101</v>
      </c>
      <c r="K286" s="1" t="s">
        <v>116</v>
      </c>
      <c r="L286" s="1">
        <v>2168968</v>
      </c>
      <c r="M286" s="1" t="s">
        <v>464</v>
      </c>
      <c r="N286" s="8">
        <f>DATE(2017,5,15)</f>
        <v>42870</v>
      </c>
      <c r="O286" s="8">
        <f>DATE(2019,12,23)</f>
        <v>43822</v>
      </c>
      <c r="P286" s="1">
        <v>2440</v>
      </c>
      <c r="Q286" s="1">
        <v>800</v>
      </c>
      <c r="R286" s="1">
        <f t="shared" si="78"/>
        <v>3000</v>
      </c>
      <c r="S286" s="1">
        <v>1.5</v>
      </c>
      <c r="U286" s="1">
        <f t="shared" si="79"/>
        <v>953</v>
      </c>
      <c r="V286" s="7">
        <f t="shared" si="80"/>
        <v>2.5603357817418679</v>
      </c>
      <c r="W286" s="7">
        <f t="shared" si="81"/>
        <v>934.5225603357818</v>
      </c>
      <c r="X286" s="7">
        <f t="shared" si="82"/>
        <v>1.1681532004197273</v>
      </c>
      <c r="AA286" s="8">
        <f t="shared" si="83"/>
        <v>44927</v>
      </c>
      <c r="AB286" s="8">
        <f t="shared" si="84"/>
        <v>45291</v>
      </c>
      <c r="AC286" s="1">
        <v>0</v>
      </c>
      <c r="AD286" s="1">
        <f t="shared" si="85"/>
        <v>0</v>
      </c>
      <c r="AE286" s="1">
        <f t="shared" si="86"/>
        <v>0</v>
      </c>
      <c r="AF286" s="1">
        <f t="shared" si="87"/>
        <v>0</v>
      </c>
      <c r="AG286" s="1">
        <f t="shared" si="88"/>
        <v>0</v>
      </c>
      <c r="AH286" s="1">
        <f t="shared" si="89"/>
        <v>182.5</v>
      </c>
      <c r="AI286" s="5">
        <f t="shared" si="90"/>
        <v>0.5</v>
      </c>
      <c r="AJ286" s="5">
        <f t="shared" si="91"/>
        <v>0.58407660020986363</v>
      </c>
      <c r="AK286" s="5">
        <f t="shared" si="92"/>
        <v>0</v>
      </c>
      <c r="AL286" s="5">
        <f t="shared" si="93"/>
        <v>0</v>
      </c>
      <c r="AM286" s="5">
        <f t="shared" si="94"/>
        <v>0</v>
      </c>
      <c r="AN286" s="5">
        <f t="shared" si="95"/>
        <v>0</v>
      </c>
      <c r="AO286" s="1" t="s">
        <v>102</v>
      </c>
    </row>
    <row r="287" spans="1:41" x14ac:dyDescent="0.25">
      <c r="A287" s="1" t="s">
        <v>19</v>
      </c>
      <c r="B287" s="1" t="s">
        <v>35</v>
      </c>
      <c r="C287" s="1" t="s">
        <v>21</v>
      </c>
      <c r="D287" s="1" t="s">
        <v>36</v>
      </c>
      <c r="E287" s="1" t="s">
        <v>96</v>
      </c>
      <c r="F287" s="1" t="s">
        <v>103</v>
      </c>
      <c r="G287" s="1" t="s">
        <v>114</v>
      </c>
      <c r="H287" s="1" t="s">
        <v>119</v>
      </c>
      <c r="I287" s="1" t="s">
        <v>105</v>
      </c>
      <c r="J287" s="1" t="s">
        <v>106</v>
      </c>
      <c r="K287" s="1" t="s">
        <v>116</v>
      </c>
      <c r="L287" s="1">
        <v>2514769</v>
      </c>
      <c r="M287" s="1" t="s">
        <v>465</v>
      </c>
      <c r="N287" s="8">
        <f>DATE(2018,2,19)</f>
        <v>43150</v>
      </c>
      <c r="O287" s="8">
        <f>DATE(2020,12,31)</f>
        <v>44196</v>
      </c>
      <c r="P287" s="1">
        <v>3924</v>
      </c>
      <c r="Q287" s="1">
        <v>1200</v>
      </c>
      <c r="R287" s="1">
        <f t="shared" si="78"/>
        <v>3200</v>
      </c>
      <c r="S287" s="1">
        <v>2.5</v>
      </c>
      <c r="U287" s="1">
        <f t="shared" si="79"/>
        <v>1047</v>
      </c>
      <c r="V287" s="7">
        <f t="shared" si="80"/>
        <v>3.0563514804202483</v>
      </c>
      <c r="W287" s="7">
        <f t="shared" si="81"/>
        <v>1115.5682903533907</v>
      </c>
      <c r="X287" s="7">
        <f t="shared" si="82"/>
        <v>1.3944603629417385</v>
      </c>
      <c r="AA287" s="8">
        <f t="shared" si="83"/>
        <v>44927</v>
      </c>
      <c r="AB287" s="8">
        <f t="shared" si="84"/>
        <v>45291</v>
      </c>
      <c r="AC287" s="1">
        <v>2</v>
      </c>
      <c r="AD287" s="1">
        <f t="shared" si="85"/>
        <v>0</v>
      </c>
      <c r="AE287" s="1">
        <f t="shared" si="86"/>
        <v>0</v>
      </c>
      <c r="AF287" s="1">
        <f t="shared" si="87"/>
        <v>0</v>
      </c>
      <c r="AG287" s="1">
        <f t="shared" si="88"/>
        <v>0</v>
      </c>
      <c r="AH287" s="1">
        <f t="shared" si="89"/>
        <v>182.5</v>
      </c>
      <c r="AI287" s="5">
        <f t="shared" si="90"/>
        <v>0.5</v>
      </c>
      <c r="AJ287" s="5">
        <f t="shared" si="91"/>
        <v>0.69723018147086924</v>
      </c>
      <c r="AK287" s="5">
        <f t="shared" si="92"/>
        <v>0.69723018147086924</v>
      </c>
      <c r="AL287" s="5">
        <f t="shared" si="93"/>
        <v>1.7430754536771731</v>
      </c>
      <c r="AM287" s="5">
        <f t="shared" si="94"/>
        <v>0.87153772683858655</v>
      </c>
      <c r="AN287" s="5">
        <f t="shared" si="95"/>
        <v>2.6146131805157595</v>
      </c>
      <c r="AO287" s="1" t="s">
        <v>102</v>
      </c>
    </row>
    <row r="288" spans="1:41" x14ac:dyDescent="0.25">
      <c r="A288" s="1" t="s">
        <v>19</v>
      </c>
      <c r="B288" s="1" t="s">
        <v>35</v>
      </c>
      <c r="C288" s="1" t="s">
        <v>21</v>
      </c>
      <c r="D288" s="1" t="s">
        <v>36</v>
      </c>
      <c r="E288" s="1" t="s">
        <v>96</v>
      </c>
      <c r="F288" s="1" t="s">
        <v>103</v>
      </c>
      <c r="G288" s="1" t="s">
        <v>114</v>
      </c>
      <c r="H288" s="1" t="s">
        <v>453</v>
      </c>
      <c r="I288" s="1" t="s">
        <v>255</v>
      </c>
      <c r="J288" s="1" t="s">
        <v>106</v>
      </c>
      <c r="K288" s="1" t="s">
        <v>116</v>
      </c>
      <c r="L288" s="1">
        <v>2514772</v>
      </c>
      <c r="M288" s="1" t="s">
        <v>466</v>
      </c>
      <c r="N288" s="8">
        <f>DATE(2018,2,19)</f>
        <v>43150</v>
      </c>
      <c r="O288" s="8">
        <f>DATE(2020,12,31)</f>
        <v>44196</v>
      </c>
      <c r="P288" s="1">
        <v>3498</v>
      </c>
      <c r="Q288" s="1">
        <v>1000</v>
      </c>
      <c r="R288" s="1">
        <f t="shared" si="78"/>
        <v>3100</v>
      </c>
      <c r="S288" s="1">
        <v>2.5</v>
      </c>
      <c r="U288" s="1">
        <f t="shared" si="79"/>
        <v>1047</v>
      </c>
      <c r="V288" s="7">
        <f t="shared" si="80"/>
        <v>2.9608404966571156</v>
      </c>
      <c r="W288" s="7">
        <f t="shared" si="81"/>
        <v>1080.7067812798473</v>
      </c>
      <c r="X288" s="7">
        <f t="shared" si="82"/>
        <v>1.350883476599809</v>
      </c>
      <c r="AA288" s="8">
        <f t="shared" si="83"/>
        <v>44927</v>
      </c>
      <c r="AB288" s="8">
        <f t="shared" si="84"/>
        <v>45291</v>
      </c>
      <c r="AC288" s="1">
        <v>1</v>
      </c>
      <c r="AD288" s="1">
        <f t="shared" si="85"/>
        <v>0</v>
      </c>
      <c r="AE288" s="1">
        <f t="shared" si="86"/>
        <v>0</v>
      </c>
      <c r="AF288" s="1">
        <f t="shared" si="87"/>
        <v>0</v>
      </c>
      <c r="AG288" s="1">
        <f t="shared" si="88"/>
        <v>0</v>
      </c>
      <c r="AH288" s="1">
        <f t="shared" si="89"/>
        <v>182.5</v>
      </c>
      <c r="AI288" s="5">
        <f t="shared" si="90"/>
        <v>0.5</v>
      </c>
      <c r="AJ288" s="5">
        <f t="shared" si="91"/>
        <v>0.6754417382999045</v>
      </c>
      <c r="AK288" s="5">
        <f t="shared" si="92"/>
        <v>0.33772086914995225</v>
      </c>
      <c r="AL288" s="5">
        <f t="shared" si="93"/>
        <v>0.84430217287488063</v>
      </c>
      <c r="AM288" s="5">
        <f t="shared" si="94"/>
        <v>0.42215108643744031</v>
      </c>
      <c r="AN288" s="5">
        <f t="shared" si="95"/>
        <v>1.266453259312321</v>
      </c>
      <c r="AO288" s="1" t="s">
        <v>102</v>
      </c>
    </row>
    <row r="289" spans="1:41" x14ac:dyDescent="0.25">
      <c r="A289" s="1" t="s">
        <v>19</v>
      </c>
      <c r="B289" s="1" t="s">
        <v>35</v>
      </c>
      <c r="C289" s="1" t="s">
        <v>21</v>
      </c>
      <c r="D289" s="1" t="s">
        <v>36</v>
      </c>
      <c r="E289" s="1" t="s">
        <v>96</v>
      </c>
      <c r="F289" s="1" t="s">
        <v>103</v>
      </c>
      <c r="G289" s="1" t="s">
        <v>320</v>
      </c>
      <c r="H289" s="1" t="s">
        <v>451</v>
      </c>
      <c r="I289" s="1" t="s">
        <v>174</v>
      </c>
      <c r="J289" s="1" t="s">
        <v>101</v>
      </c>
      <c r="L289" s="1">
        <v>2514797</v>
      </c>
      <c r="M289" s="1" t="s">
        <v>467</v>
      </c>
      <c r="N289" s="8">
        <f>DATE(2018,2,19)</f>
        <v>43150</v>
      </c>
      <c r="O289" s="8">
        <f>DATE(2021,12,31)</f>
        <v>44561</v>
      </c>
      <c r="P289" s="1">
        <v>3144</v>
      </c>
      <c r="Q289" s="1">
        <v>3200</v>
      </c>
      <c r="R289" s="1">
        <f t="shared" si="78"/>
        <v>3200</v>
      </c>
      <c r="S289" s="1">
        <v>2.5</v>
      </c>
      <c r="U289" s="1">
        <f t="shared" si="79"/>
        <v>1412</v>
      </c>
      <c r="V289" s="7">
        <f t="shared" si="80"/>
        <v>2.226628895184136</v>
      </c>
      <c r="W289" s="7">
        <f t="shared" si="81"/>
        <v>812.71954674220967</v>
      </c>
      <c r="X289" s="7">
        <f t="shared" si="82"/>
        <v>1.015899433427762</v>
      </c>
      <c r="AA289" s="8">
        <f t="shared" si="83"/>
        <v>44927</v>
      </c>
      <c r="AB289" s="8">
        <f t="shared" si="84"/>
        <v>45291</v>
      </c>
      <c r="AC289" s="1">
        <v>5</v>
      </c>
      <c r="AD289" s="1">
        <f t="shared" si="85"/>
        <v>0</v>
      </c>
      <c r="AE289" s="1">
        <f t="shared" si="86"/>
        <v>0</v>
      </c>
      <c r="AF289" s="1">
        <f t="shared" si="87"/>
        <v>0</v>
      </c>
      <c r="AG289" s="1">
        <f t="shared" si="88"/>
        <v>0</v>
      </c>
      <c r="AH289" s="1">
        <f t="shared" si="89"/>
        <v>182.5</v>
      </c>
      <c r="AI289" s="5">
        <f t="shared" si="90"/>
        <v>0.5</v>
      </c>
      <c r="AJ289" s="5">
        <f t="shared" si="91"/>
        <v>0.50794971671388101</v>
      </c>
      <c r="AK289" s="5">
        <f t="shared" si="92"/>
        <v>1.2698742917847026</v>
      </c>
      <c r="AL289" s="5">
        <f t="shared" si="93"/>
        <v>3.1746857294617565</v>
      </c>
      <c r="AM289" s="5">
        <f t="shared" si="94"/>
        <v>0</v>
      </c>
      <c r="AN289" s="5">
        <f t="shared" si="95"/>
        <v>3.1746857294617565</v>
      </c>
      <c r="AO289" s="1" t="s">
        <v>102</v>
      </c>
    </row>
    <row r="290" spans="1:41" x14ac:dyDescent="0.25">
      <c r="A290" s="1" t="s">
        <v>19</v>
      </c>
      <c r="B290" s="1" t="s">
        <v>35</v>
      </c>
      <c r="C290" s="1" t="s">
        <v>21</v>
      </c>
      <c r="D290" s="1" t="s">
        <v>36</v>
      </c>
      <c r="E290" s="1" t="s">
        <v>96</v>
      </c>
      <c r="F290" s="1" t="s">
        <v>103</v>
      </c>
      <c r="G290" s="1" t="s">
        <v>320</v>
      </c>
      <c r="H290" s="1" t="s">
        <v>321</v>
      </c>
      <c r="I290" s="1" t="s">
        <v>174</v>
      </c>
      <c r="J290" s="1" t="s">
        <v>101</v>
      </c>
      <c r="L290" s="1">
        <v>2514804</v>
      </c>
      <c r="M290" s="1" t="s">
        <v>468</v>
      </c>
      <c r="N290" s="8">
        <f>DATE(2018,2,19)</f>
        <v>43150</v>
      </c>
      <c r="O290" s="8">
        <f>DATE(2021,12,31)</f>
        <v>44561</v>
      </c>
      <c r="P290" s="1">
        <v>3144</v>
      </c>
      <c r="Q290" s="1">
        <v>3200</v>
      </c>
      <c r="R290" s="1">
        <f t="shared" si="78"/>
        <v>3200</v>
      </c>
      <c r="S290" s="1">
        <v>2.5</v>
      </c>
      <c r="U290" s="1">
        <f t="shared" si="79"/>
        <v>1412</v>
      </c>
      <c r="V290" s="7">
        <f t="shared" si="80"/>
        <v>2.226628895184136</v>
      </c>
      <c r="W290" s="7">
        <f t="shared" si="81"/>
        <v>812.71954674220967</v>
      </c>
      <c r="X290" s="7">
        <f t="shared" si="82"/>
        <v>1.015899433427762</v>
      </c>
      <c r="AA290" s="8">
        <f t="shared" si="83"/>
        <v>44927</v>
      </c>
      <c r="AB290" s="8">
        <f t="shared" si="84"/>
        <v>45291</v>
      </c>
      <c r="AC290" s="1">
        <v>2</v>
      </c>
      <c r="AD290" s="1">
        <f t="shared" si="85"/>
        <v>0</v>
      </c>
      <c r="AE290" s="1">
        <f t="shared" si="86"/>
        <v>0</v>
      </c>
      <c r="AF290" s="1">
        <f t="shared" si="87"/>
        <v>0</v>
      </c>
      <c r="AG290" s="1">
        <f t="shared" si="88"/>
        <v>0</v>
      </c>
      <c r="AH290" s="1">
        <f t="shared" si="89"/>
        <v>182.5</v>
      </c>
      <c r="AI290" s="5">
        <f t="shared" si="90"/>
        <v>0.5</v>
      </c>
      <c r="AJ290" s="5">
        <f t="shared" si="91"/>
        <v>0.50794971671388101</v>
      </c>
      <c r="AK290" s="5">
        <f t="shared" si="92"/>
        <v>0.50794971671388101</v>
      </c>
      <c r="AL290" s="5">
        <f t="shared" si="93"/>
        <v>1.2698742917847026</v>
      </c>
      <c r="AM290" s="5">
        <f t="shared" si="94"/>
        <v>0</v>
      </c>
      <c r="AN290" s="5">
        <f t="shared" si="95"/>
        <v>1.2698742917847026</v>
      </c>
      <c r="AO290" s="1" t="s">
        <v>102</v>
      </c>
    </row>
    <row r="291" spans="1:41" x14ac:dyDescent="0.25">
      <c r="A291" s="1" t="s">
        <v>19</v>
      </c>
      <c r="B291" s="1" t="s">
        <v>35</v>
      </c>
      <c r="C291" s="1" t="s">
        <v>21</v>
      </c>
      <c r="D291" s="1" t="s">
        <v>36</v>
      </c>
      <c r="E291" s="1" t="s">
        <v>96</v>
      </c>
      <c r="F291" s="1" t="s">
        <v>103</v>
      </c>
      <c r="G291" s="1" t="s">
        <v>114</v>
      </c>
      <c r="H291" s="1" t="s">
        <v>257</v>
      </c>
      <c r="I291" s="1" t="s">
        <v>157</v>
      </c>
      <c r="J291" s="1" t="s">
        <v>101</v>
      </c>
      <c r="K291" s="1" t="s">
        <v>175</v>
      </c>
      <c r="L291" s="1">
        <v>2514832</v>
      </c>
      <c r="M291" s="1" t="s">
        <v>469</v>
      </c>
      <c r="N291" s="8">
        <f>DATE(2018,2,19)</f>
        <v>43150</v>
      </c>
      <c r="O291" s="8">
        <f>DATE(2020,4,2)</f>
        <v>43923</v>
      </c>
      <c r="P291" s="1">
        <v>1267</v>
      </c>
      <c r="Q291" s="1">
        <v>1200</v>
      </c>
      <c r="R291" s="1">
        <f t="shared" si="78"/>
        <v>1200</v>
      </c>
      <c r="S291" s="1">
        <v>2.5</v>
      </c>
      <c r="U291" s="1">
        <f t="shared" si="79"/>
        <v>774</v>
      </c>
      <c r="V291" s="7">
        <f t="shared" si="80"/>
        <v>1.5503875968992249</v>
      </c>
      <c r="W291" s="7">
        <f t="shared" si="81"/>
        <v>565.89147286821708</v>
      </c>
      <c r="X291" s="7">
        <f t="shared" si="82"/>
        <v>0.70736434108527135</v>
      </c>
      <c r="AA291" s="8">
        <f t="shared" si="83"/>
        <v>44927</v>
      </c>
      <c r="AB291" s="8">
        <f t="shared" si="84"/>
        <v>45291</v>
      </c>
      <c r="AC291" s="1">
        <v>1</v>
      </c>
      <c r="AD291" s="1">
        <f t="shared" si="85"/>
        <v>0</v>
      </c>
      <c r="AE291" s="1">
        <f t="shared" si="86"/>
        <v>0</v>
      </c>
      <c r="AF291" s="1">
        <f t="shared" si="87"/>
        <v>0</v>
      </c>
      <c r="AG291" s="1">
        <f t="shared" si="88"/>
        <v>0</v>
      </c>
      <c r="AH291" s="1">
        <f t="shared" si="89"/>
        <v>182.5</v>
      </c>
      <c r="AI291" s="5">
        <f t="shared" si="90"/>
        <v>0.5</v>
      </c>
      <c r="AJ291" s="5">
        <f t="shared" si="91"/>
        <v>0.35368217054263568</v>
      </c>
      <c r="AK291" s="5">
        <f t="shared" si="92"/>
        <v>0.17684108527131784</v>
      </c>
      <c r="AL291" s="5">
        <f t="shared" si="93"/>
        <v>0.44210271317829458</v>
      </c>
      <c r="AM291" s="5">
        <f t="shared" si="94"/>
        <v>0</v>
      </c>
      <c r="AN291" s="5">
        <f t="shared" si="95"/>
        <v>0.44210271317829458</v>
      </c>
      <c r="AO291" s="1" t="s">
        <v>102</v>
      </c>
    </row>
    <row r="292" spans="1:41" x14ac:dyDescent="0.25">
      <c r="A292" s="1" t="s">
        <v>19</v>
      </c>
      <c r="B292" s="1" t="s">
        <v>35</v>
      </c>
      <c r="C292" s="1" t="s">
        <v>21</v>
      </c>
      <c r="D292" s="1" t="s">
        <v>36</v>
      </c>
      <c r="E292" s="1" t="s">
        <v>96</v>
      </c>
      <c r="F292" s="1" t="s">
        <v>103</v>
      </c>
      <c r="G292" s="1" t="s">
        <v>320</v>
      </c>
      <c r="H292" s="1" t="s">
        <v>456</v>
      </c>
      <c r="I292" s="1" t="s">
        <v>174</v>
      </c>
      <c r="J292" s="1" t="s">
        <v>101</v>
      </c>
      <c r="L292" s="1">
        <v>2514793</v>
      </c>
      <c r="M292" s="1" t="s">
        <v>470</v>
      </c>
      <c r="N292" s="8">
        <f>DATE(2018,4,2)</f>
        <v>43192</v>
      </c>
      <c r="O292" s="8">
        <f>DATE(2021,12,31)</f>
        <v>44561</v>
      </c>
      <c r="P292" s="1">
        <v>3144</v>
      </c>
      <c r="Q292" s="1">
        <v>3200</v>
      </c>
      <c r="R292" s="1">
        <f t="shared" si="78"/>
        <v>3200</v>
      </c>
      <c r="S292" s="1">
        <v>2.5</v>
      </c>
      <c r="U292" s="1">
        <f t="shared" si="79"/>
        <v>1370</v>
      </c>
      <c r="V292" s="7">
        <f t="shared" si="80"/>
        <v>2.2948905109489051</v>
      </c>
      <c r="W292" s="7">
        <f t="shared" si="81"/>
        <v>837.63503649635038</v>
      </c>
      <c r="X292" s="7">
        <f t="shared" si="82"/>
        <v>1.0470437956204379</v>
      </c>
      <c r="AA292" s="8">
        <f t="shared" si="83"/>
        <v>44927</v>
      </c>
      <c r="AB292" s="8">
        <f t="shared" si="84"/>
        <v>45291</v>
      </c>
      <c r="AC292" s="1">
        <v>4</v>
      </c>
      <c r="AD292" s="1">
        <f t="shared" si="85"/>
        <v>0</v>
      </c>
      <c r="AE292" s="1">
        <f t="shared" si="86"/>
        <v>0</v>
      </c>
      <c r="AF292" s="1">
        <f t="shared" si="87"/>
        <v>0</v>
      </c>
      <c r="AG292" s="1">
        <f t="shared" si="88"/>
        <v>0</v>
      </c>
      <c r="AH292" s="1">
        <f t="shared" si="89"/>
        <v>182.5</v>
      </c>
      <c r="AI292" s="5">
        <f t="shared" si="90"/>
        <v>0.5</v>
      </c>
      <c r="AJ292" s="5">
        <f t="shared" si="91"/>
        <v>0.52352189781021896</v>
      </c>
      <c r="AK292" s="5">
        <f t="shared" si="92"/>
        <v>1.0470437956204379</v>
      </c>
      <c r="AL292" s="5">
        <f t="shared" si="93"/>
        <v>2.6176094890510946</v>
      </c>
      <c r="AM292" s="5">
        <f t="shared" si="94"/>
        <v>0</v>
      </c>
      <c r="AN292" s="5">
        <f t="shared" si="95"/>
        <v>2.6176094890510946</v>
      </c>
      <c r="AO292" s="1" t="s">
        <v>102</v>
      </c>
    </row>
    <row r="293" spans="1:41" x14ac:dyDescent="0.25">
      <c r="A293" s="1" t="s">
        <v>19</v>
      </c>
      <c r="B293" s="1" t="s">
        <v>35</v>
      </c>
      <c r="C293" s="1" t="s">
        <v>21</v>
      </c>
      <c r="D293" s="1" t="s">
        <v>36</v>
      </c>
      <c r="E293" s="1" t="s">
        <v>96</v>
      </c>
      <c r="F293" s="1" t="s">
        <v>103</v>
      </c>
      <c r="G293" s="1" t="s">
        <v>98</v>
      </c>
      <c r="H293" s="1" t="s">
        <v>355</v>
      </c>
      <c r="I293" s="1" t="s">
        <v>105</v>
      </c>
      <c r="J293" s="1" t="s">
        <v>106</v>
      </c>
      <c r="L293" s="1">
        <v>2514838</v>
      </c>
      <c r="M293" s="1" t="s">
        <v>471</v>
      </c>
      <c r="N293" s="8">
        <f>DATE(2018,4,2)</f>
        <v>43192</v>
      </c>
      <c r="O293" s="8">
        <f>DATE(2022,12,31)</f>
        <v>44926</v>
      </c>
      <c r="P293" s="1">
        <v>4035</v>
      </c>
      <c r="Q293" s="1">
        <v>3600</v>
      </c>
      <c r="R293" s="1">
        <f t="shared" si="78"/>
        <v>3600</v>
      </c>
      <c r="S293" s="1">
        <v>2.5</v>
      </c>
      <c r="U293" s="1">
        <f t="shared" si="79"/>
        <v>1735</v>
      </c>
      <c r="V293" s="7">
        <f t="shared" si="80"/>
        <v>2.0749279538904899</v>
      </c>
      <c r="W293" s="7">
        <f t="shared" si="81"/>
        <v>757.34870317002878</v>
      </c>
      <c r="X293" s="7">
        <f t="shared" si="82"/>
        <v>0.94668587896253598</v>
      </c>
      <c r="AA293" s="8">
        <f t="shared" si="83"/>
        <v>44927</v>
      </c>
      <c r="AB293" s="8">
        <f t="shared" si="84"/>
        <v>45291</v>
      </c>
      <c r="AC293" s="1">
        <v>31</v>
      </c>
      <c r="AD293" s="1">
        <f t="shared" si="85"/>
        <v>0</v>
      </c>
      <c r="AE293" s="1">
        <f t="shared" si="86"/>
        <v>0</v>
      </c>
      <c r="AF293" s="1">
        <f t="shared" si="87"/>
        <v>0</v>
      </c>
      <c r="AG293" s="1">
        <f t="shared" si="88"/>
        <v>0</v>
      </c>
      <c r="AH293" s="1">
        <f t="shared" si="89"/>
        <v>182.5</v>
      </c>
      <c r="AI293" s="5">
        <f t="shared" si="90"/>
        <v>0.5</v>
      </c>
      <c r="AJ293" s="5">
        <f t="shared" si="91"/>
        <v>0.47334293948126799</v>
      </c>
      <c r="AK293" s="5">
        <f t="shared" si="92"/>
        <v>7.3368155619596536</v>
      </c>
      <c r="AL293" s="5">
        <f t="shared" si="93"/>
        <v>18.342038904899134</v>
      </c>
      <c r="AM293" s="5">
        <f t="shared" si="94"/>
        <v>9.171019452449567</v>
      </c>
      <c r="AN293" s="5">
        <f t="shared" si="95"/>
        <v>27.513058357348701</v>
      </c>
      <c r="AO293" s="1" t="s">
        <v>102</v>
      </c>
    </row>
    <row r="294" spans="1:41" x14ac:dyDescent="0.25">
      <c r="A294" s="1" t="s">
        <v>19</v>
      </c>
      <c r="B294" s="1" t="s">
        <v>35</v>
      </c>
      <c r="C294" s="1" t="s">
        <v>21</v>
      </c>
      <c r="D294" s="1" t="s">
        <v>36</v>
      </c>
      <c r="E294" s="1" t="s">
        <v>96</v>
      </c>
      <c r="F294" s="1" t="s">
        <v>103</v>
      </c>
      <c r="G294" s="1" t="s">
        <v>114</v>
      </c>
      <c r="H294" s="1" t="s">
        <v>119</v>
      </c>
      <c r="I294" s="1" t="s">
        <v>105</v>
      </c>
      <c r="J294" s="1" t="s">
        <v>106</v>
      </c>
      <c r="K294" s="1" t="s">
        <v>116</v>
      </c>
      <c r="L294" s="1">
        <v>2590565</v>
      </c>
      <c r="M294" s="1" t="s">
        <v>472</v>
      </c>
      <c r="N294" s="8">
        <f>DATE(2019,2,4)</f>
        <v>43500</v>
      </c>
      <c r="O294" s="8">
        <f>DATE(2021,12,31)</f>
        <v>44561</v>
      </c>
      <c r="P294" s="1">
        <v>3614</v>
      </c>
      <c r="Q294" s="1">
        <v>1200</v>
      </c>
      <c r="R294" s="1">
        <f t="shared" si="78"/>
        <v>3200</v>
      </c>
      <c r="S294" s="1">
        <v>2.5</v>
      </c>
      <c r="U294" s="1">
        <f t="shared" si="79"/>
        <v>1062</v>
      </c>
      <c r="V294" s="7">
        <f t="shared" si="80"/>
        <v>3.0131826741996233</v>
      </c>
      <c r="W294" s="7">
        <f t="shared" si="81"/>
        <v>1099.8116760828625</v>
      </c>
      <c r="X294" s="7">
        <f t="shared" si="82"/>
        <v>1.3747645951035781</v>
      </c>
      <c r="AA294" s="8">
        <f t="shared" si="83"/>
        <v>44927</v>
      </c>
      <c r="AB294" s="8">
        <f t="shared" si="84"/>
        <v>45291</v>
      </c>
      <c r="AC294" s="1">
        <v>18</v>
      </c>
      <c r="AD294" s="1">
        <f t="shared" si="85"/>
        <v>0</v>
      </c>
      <c r="AE294" s="1">
        <f t="shared" si="86"/>
        <v>0</v>
      </c>
      <c r="AF294" s="1">
        <f t="shared" si="87"/>
        <v>0</v>
      </c>
      <c r="AG294" s="1">
        <f t="shared" si="88"/>
        <v>0</v>
      </c>
      <c r="AH294" s="1">
        <f t="shared" si="89"/>
        <v>182.5</v>
      </c>
      <c r="AI294" s="5">
        <f t="shared" si="90"/>
        <v>0.5</v>
      </c>
      <c r="AJ294" s="5">
        <f t="shared" si="91"/>
        <v>0.68738229755178903</v>
      </c>
      <c r="AK294" s="5">
        <f t="shared" si="92"/>
        <v>6.1864406779661012</v>
      </c>
      <c r="AL294" s="5">
        <f t="shared" si="93"/>
        <v>15.466101694915253</v>
      </c>
      <c r="AM294" s="5">
        <f t="shared" si="94"/>
        <v>7.7330508474576263</v>
      </c>
      <c r="AN294" s="5">
        <f t="shared" si="95"/>
        <v>23.199152542372879</v>
      </c>
      <c r="AO294" s="1" t="s">
        <v>102</v>
      </c>
    </row>
    <row r="295" spans="1:41" x14ac:dyDescent="0.25">
      <c r="A295" s="1" t="s">
        <v>19</v>
      </c>
      <c r="B295" s="1" t="s">
        <v>35</v>
      </c>
      <c r="C295" s="1" t="s">
        <v>21</v>
      </c>
      <c r="D295" s="1" t="s">
        <v>36</v>
      </c>
      <c r="E295" s="1" t="s">
        <v>96</v>
      </c>
      <c r="F295" s="1" t="s">
        <v>103</v>
      </c>
      <c r="G295" s="1" t="s">
        <v>114</v>
      </c>
      <c r="H295" s="1" t="s">
        <v>453</v>
      </c>
      <c r="I295" s="1" t="s">
        <v>255</v>
      </c>
      <c r="J295" s="1" t="s">
        <v>106</v>
      </c>
      <c r="K295" s="1" t="s">
        <v>116</v>
      </c>
      <c r="L295" s="1">
        <v>2600614</v>
      </c>
      <c r="M295" s="1" t="s">
        <v>473</v>
      </c>
      <c r="N295" s="8">
        <f>DATE(2019,2,4)</f>
        <v>43500</v>
      </c>
      <c r="O295" s="8">
        <f>DATE(2021,12,31)</f>
        <v>44561</v>
      </c>
      <c r="P295" s="1">
        <v>3498</v>
      </c>
      <c r="Q295" s="1">
        <v>1000</v>
      </c>
      <c r="R295" s="1">
        <f t="shared" si="78"/>
        <v>3100</v>
      </c>
      <c r="S295" s="1">
        <v>2.5</v>
      </c>
      <c r="U295" s="1">
        <f t="shared" si="79"/>
        <v>1062</v>
      </c>
      <c r="V295" s="7">
        <f t="shared" si="80"/>
        <v>2.9190207156308849</v>
      </c>
      <c r="W295" s="7">
        <f t="shared" si="81"/>
        <v>1065.442561205273</v>
      </c>
      <c r="X295" s="7">
        <f t="shared" si="82"/>
        <v>1.3318032015065913</v>
      </c>
      <c r="AA295" s="8">
        <f t="shared" si="83"/>
        <v>44927</v>
      </c>
      <c r="AB295" s="8">
        <f t="shared" si="84"/>
        <v>45291</v>
      </c>
      <c r="AC295" s="1">
        <v>9</v>
      </c>
      <c r="AD295" s="1">
        <f t="shared" si="85"/>
        <v>0</v>
      </c>
      <c r="AE295" s="1">
        <f t="shared" si="86"/>
        <v>0</v>
      </c>
      <c r="AF295" s="1">
        <f t="shared" si="87"/>
        <v>0</v>
      </c>
      <c r="AG295" s="1">
        <f t="shared" si="88"/>
        <v>0</v>
      </c>
      <c r="AH295" s="1">
        <f t="shared" si="89"/>
        <v>182.5</v>
      </c>
      <c r="AI295" s="5">
        <f t="shared" si="90"/>
        <v>0.5</v>
      </c>
      <c r="AJ295" s="5">
        <f t="shared" si="91"/>
        <v>0.66590160075329563</v>
      </c>
      <c r="AK295" s="5">
        <f t="shared" si="92"/>
        <v>2.9965572033898304</v>
      </c>
      <c r="AL295" s="5">
        <f t="shared" si="93"/>
        <v>7.4913930084745761</v>
      </c>
      <c r="AM295" s="5">
        <f t="shared" si="94"/>
        <v>3.7456965042372881</v>
      </c>
      <c r="AN295" s="5">
        <f t="shared" si="95"/>
        <v>11.237089512711865</v>
      </c>
      <c r="AO295" s="1" t="s">
        <v>102</v>
      </c>
    </row>
    <row r="296" spans="1:41" x14ac:dyDescent="0.25">
      <c r="A296" s="1" t="s">
        <v>19</v>
      </c>
      <c r="B296" s="1" t="s">
        <v>35</v>
      </c>
      <c r="C296" s="1" t="s">
        <v>21</v>
      </c>
      <c r="D296" s="1" t="s">
        <v>36</v>
      </c>
      <c r="E296" s="1" t="s">
        <v>96</v>
      </c>
      <c r="F296" s="1" t="s">
        <v>103</v>
      </c>
      <c r="G296" s="1" t="s">
        <v>98</v>
      </c>
      <c r="H296" s="1" t="s">
        <v>355</v>
      </c>
      <c r="I296" s="1" t="s">
        <v>105</v>
      </c>
      <c r="J296" s="1" t="s">
        <v>106</v>
      </c>
      <c r="L296" s="1">
        <v>2590510</v>
      </c>
      <c r="M296" s="1" t="s">
        <v>474</v>
      </c>
      <c r="N296" s="8">
        <f>DATE(2019,3,11)</f>
        <v>43535</v>
      </c>
      <c r="O296" s="8">
        <f>DATE(2023,12,31)</f>
        <v>45291</v>
      </c>
      <c r="P296" s="1">
        <v>4069</v>
      </c>
      <c r="Q296" s="1">
        <v>3600</v>
      </c>
      <c r="R296" s="1">
        <f t="shared" si="78"/>
        <v>3600</v>
      </c>
      <c r="S296" s="1">
        <v>2.5</v>
      </c>
      <c r="U296" s="1">
        <f t="shared" si="79"/>
        <v>1757</v>
      </c>
      <c r="V296" s="7">
        <f t="shared" si="80"/>
        <v>2.0489470688673874</v>
      </c>
      <c r="W296" s="7">
        <f t="shared" si="81"/>
        <v>747.86568013659644</v>
      </c>
      <c r="X296" s="7">
        <f t="shared" si="82"/>
        <v>0.93483210017074558</v>
      </c>
      <c r="AA296" s="8">
        <f t="shared" si="83"/>
        <v>44927</v>
      </c>
      <c r="AB296" s="8">
        <f t="shared" si="84"/>
        <v>45291</v>
      </c>
      <c r="AC296" s="1">
        <v>30</v>
      </c>
      <c r="AD296" s="1">
        <f t="shared" si="85"/>
        <v>0</v>
      </c>
      <c r="AE296" s="1">
        <f t="shared" si="86"/>
        <v>0</v>
      </c>
      <c r="AF296" s="1">
        <f t="shared" si="87"/>
        <v>365</v>
      </c>
      <c r="AG296" s="1">
        <f t="shared" si="88"/>
        <v>0</v>
      </c>
      <c r="AH296" s="1">
        <f t="shared" si="89"/>
        <v>0</v>
      </c>
      <c r="AI296" s="5">
        <f t="shared" si="90"/>
        <v>1</v>
      </c>
      <c r="AJ296" s="5">
        <f t="shared" si="91"/>
        <v>0.93483210017074558</v>
      </c>
      <c r="AK296" s="5">
        <f t="shared" si="92"/>
        <v>28.044963005122369</v>
      </c>
      <c r="AL296" s="5">
        <f t="shared" si="93"/>
        <v>70.11240751280593</v>
      </c>
      <c r="AM296" s="5">
        <f t="shared" si="94"/>
        <v>35.056203756402965</v>
      </c>
      <c r="AN296" s="5">
        <f t="shared" si="95"/>
        <v>105.1686112692089</v>
      </c>
      <c r="AO296" s="1" t="s">
        <v>102</v>
      </c>
    </row>
    <row r="297" spans="1:41" x14ac:dyDescent="0.25">
      <c r="A297" s="1" t="s">
        <v>19</v>
      </c>
      <c r="B297" s="1" t="s">
        <v>35</v>
      </c>
      <c r="C297" s="1" t="s">
        <v>21</v>
      </c>
      <c r="D297" s="1" t="s">
        <v>36</v>
      </c>
      <c r="E297" s="1" t="s">
        <v>96</v>
      </c>
      <c r="F297" s="1" t="s">
        <v>103</v>
      </c>
      <c r="G297" s="1" t="s">
        <v>320</v>
      </c>
      <c r="H297" s="1" t="s">
        <v>456</v>
      </c>
      <c r="I297" s="1" t="s">
        <v>174</v>
      </c>
      <c r="J297" s="1" t="s">
        <v>101</v>
      </c>
      <c r="L297" s="1">
        <v>2590555</v>
      </c>
      <c r="M297" s="1" t="s">
        <v>475</v>
      </c>
      <c r="N297" s="8">
        <f>DATE(2019,3,11)</f>
        <v>43535</v>
      </c>
      <c r="O297" s="8">
        <f>DATE(2022,12,31)</f>
        <v>44926</v>
      </c>
      <c r="P297" s="1">
        <v>3144</v>
      </c>
      <c r="Q297" s="1">
        <v>3200</v>
      </c>
      <c r="R297" s="1">
        <f t="shared" si="78"/>
        <v>3200</v>
      </c>
      <c r="S297" s="1">
        <v>2.5</v>
      </c>
      <c r="U297" s="1">
        <f t="shared" si="79"/>
        <v>1392</v>
      </c>
      <c r="V297" s="7">
        <f t="shared" si="80"/>
        <v>2.2586206896551726</v>
      </c>
      <c r="W297" s="7">
        <f t="shared" si="81"/>
        <v>824.39655172413802</v>
      </c>
      <c r="X297" s="7">
        <f t="shared" si="82"/>
        <v>1.0304956896551725</v>
      </c>
      <c r="AA297" s="8">
        <f t="shared" si="83"/>
        <v>44927</v>
      </c>
      <c r="AB297" s="8">
        <f t="shared" si="84"/>
        <v>45291</v>
      </c>
      <c r="AC297" s="1">
        <v>13</v>
      </c>
      <c r="AD297" s="1">
        <f t="shared" si="85"/>
        <v>0</v>
      </c>
      <c r="AE297" s="1">
        <f t="shared" si="86"/>
        <v>0</v>
      </c>
      <c r="AF297" s="1">
        <f t="shared" si="87"/>
        <v>0</v>
      </c>
      <c r="AG297" s="1">
        <f t="shared" si="88"/>
        <v>0</v>
      </c>
      <c r="AH297" s="1">
        <f t="shared" si="89"/>
        <v>182.5</v>
      </c>
      <c r="AI297" s="5">
        <f t="shared" si="90"/>
        <v>0.5</v>
      </c>
      <c r="AJ297" s="5">
        <f t="shared" si="91"/>
        <v>0.51524784482758623</v>
      </c>
      <c r="AK297" s="5">
        <f t="shared" si="92"/>
        <v>3.3491109913793107</v>
      </c>
      <c r="AL297" s="5">
        <f t="shared" si="93"/>
        <v>8.3727774784482776</v>
      </c>
      <c r="AM297" s="5">
        <f t="shared" si="94"/>
        <v>0</v>
      </c>
      <c r="AN297" s="5">
        <f t="shared" si="95"/>
        <v>8.3727774784482776</v>
      </c>
      <c r="AO297" s="1" t="s">
        <v>102</v>
      </c>
    </row>
    <row r="298" spans="1:41" x14ac:dyDescent="0.25">
      <c r="A298" s="1" t="s">
        <v>19</v>
      </c>
      <c r="B298" s="1" t="s">
        <v>35</v>
      </c>
      <c r="C298" s="1" t="s">
        <v>21</v>
      </c>
      <c r="D298" s="1" t="s">
        <v>36</v>
      </c>
      <c r="E298" s="1" t="s">
        <v>96</v>
      </c>
      <c r="F298" s="1" t="s">
        <v>103</v>
      </c>
      <c r="G298" s="1" t="s">
        <v>320</v>
      </c>
      <c r="H298" s="1" t="s">
        <v>321</v>
      </c>
      <c r="I298" s="1" t="s">
        <v>174</v>
      </c>
      <c r="J298" s="1" t="s">
        <v>101</v>
      </c>
      <c r="L298" s="1">
        <v>2590557</v>
      </c>
      <c r="M298" s="1" t="s">
        <v>476</v>
      </c>
      <c r="N298" s="8">
        <f>DATE(2019,3,11)</f>
        <v>43535</v>
      </c>
      <c r="O298" s="8">
        <f>DATE(2022,12,31)</f>
        <v>44926</v>
      </c>
      <c r="P298" s="1">
        <v>3144</v>
      </c>
      <c r="Q298" s="1">
        <v>3200</v>
      </c>
      <c r="R298" s="1">
        <f t="shared" si="78"/>
        <v>3200</v>
      </c>
      <c r="S298" s="1">
        <v>2.5</v>
      </c>
      <c r="U298" s="1">
        <f t="shared" si="79"/>
        <v>1392</v>
      </c>
      <c r="V298" s="7">
        <f t="shared" si="80"/>
        <v>2.2586206896551726</v>
      </c>
      <c r="W298" s="7">
        <f t="shared" si="81"/>
        <v>824.39655172413802</v>
      </c>
      <c r="X298" s="7">
        <f t="shared" si="82"/>
        <v>1.0304956896551725</v>
      </c>
      <c r="AA298" s="8">
        <f t="shared" si="83"/>
        <v>44927</v>
      </c>
      <c r="AB298" s="8">
        <f t="shared" si="84"/>
        <v>45291</v>
      </c>
      <c r="AC298" s="1">
        <v>7</v>
      </c>
      <c r="AD298" s="1">
        <f t="shared" si="85"/>
        <v>0</v>
      </c>
      <c r="AE298" s="1">
        <f t="shared" si="86"/>
        <v>0</v>
      </c>
      <c r="AF298" s="1">
        <f t="shared" si="87"/>
        <v>0</v>
      </c>
      <c r="AG298" s="1">
        <f t="shared" si="88"/>
        <v>0</v>
      </c>
      <c r="AH298" s="1">
        <f t="shared" si="89"/>
        <v>182.5</v>
      </c>
      <c r="AI298" s="5">
        <f t="shared" si="90"/>
        <v>0.5</v>
      </c>
      <c r="AJ298" s="5">
        <f t="shared" si="91"/>
        <v>0.51524784482758623</v>
      </c>
      <c r="AK298" s="5">
        <f t="shared" si="92"/>
        <v>1.8033674568965519</v>
      </c>
      <c r="AL298" s="5">
        <f t="shared" si="93"/>
        <v>4.5084186422413799</v>
      </c>
      <c r="AM298" s="5">
        <f t="shared" si="94"/>
        <v>0</v>
      </c>
      <c r="AN298" s="5">
        <f t="shared" si="95"/>
        <v>4.5084186422413799</v>
      </c>
      <c r="AO298" s="1" t="s">
        <v>102</v>
      </c>
    </row>
    <row r="299" spans="1:41" x14ac:dyDescent="0.25">
      <c r="A299" s="1" t="s">
        <v>19</v>
      </c>
      <c r="B299" s="1" t="s">
        <v>35</v>
      </c>
      <c r="C299" s="1" t="s">
        <v>21</v>
      </c>
      <c r="D299" s="1" t="s">
        <v>36</v>
      </c>
      <c r="E299" s="1" t="s">
        <v>96</v>
      </c>
      <c r="F299" s="1" t="s">
        <v>103</v>
      </c>
      <c r="G299" s="1" t="s">
        <v>320</v>
      </c>
      <c r="H299" s="1" t="s">
        <v>451</v>
      </c>
      <c r="I299" s="1" t="s">
        <v>174</v>
      </c>
      <c r="J299" s="1" t="s">
        <v>101</v>
      </c>
      <c r="L299" s="1">
        <v>2590559</v>
      </c>
      <c r="M299" s="1" t="s">
        <v>477</v>
      </c>
      <c r="N299" s="8">
        <f>DATE(2019,3,11)</f>
        <v>43535</v>
      </c>
      <c r="O299" s="8">
        <f>DATE(2021,12,31)</f>
        <v>44561</v>
      </c>
      <c r="P299" s="1">
        <v>3144</v>
      </c>
      <c r="Q299" s="1">
        <v>3200</v>
      </c>
      <c r="R299" s="1">
        <f t="shared" si="78"/>
        <v>3200</v>
      </c>
      <c r="S299" s="1">
        <v>2.5</v>
      </c>
      <c r="U299" s="1">
        <f t="shared" si="79"/>
        <v>1027</v>
      </c>
      <c r="V299" s="7">
        <f t="shared" si="80"/>
        <v>3.0613437195715676</v>
      </c>
      <c r="W299" s="7">
        <f t="shared" si="81"/>
        <v>1117.3904576436221</v>
      </c>
      <c r="X299" s="7">
        <f t="shared" si="82"/>
        <v>1.3967380720545277</v>
      </c>
      <c r="AA299" s="8">
        <f t="shared" si="83"/>
        <v>44927</v>
      </c>
      <c r="AB299" s="8">
        <f t="shared" si="84"/>
        <v>45291</v>
      </c>
      <c r="AC299" s="1">
        <v>1</v>
      </c>
      <c r="AD299" s="1">
        <f t="shared" si="85"/>
        <v>0</v>
      </c>
      <c r="AE299" s="1">
        <f t="shared" si="86"/>
        <v>0</v>
      </c>
      <c r="AF299" s="1">
        <f t="shared" si="87"/>
        <v>0</v>
      </c>
      <c r="AG299" s="1">
        <f t="shared" si="88"/>
        <v>0</v>
      </c>
      <c r="AH299" s="1">
        <f t="shared" si="89"/>
        <v>182.5</v>
      </c>
      <c r="AI299" s="5">
        <f t="shared" si="90"/>
        <v>0.5</v>
      </c>
      <c r="AJ299" s="5">
        <f t="shared" si="91"/>
        <v>0.69836903602726386</v>
      </c>
      <c r="AK299" s="5">
        <f t="shared" si="92"/>
        <v>0.34918451801363193</v>
      </c>
      <c r="AL299" s="5">
        <f t="shared" si="93"/>
        <v>0.87296129503407982</v>
      </c>
      <c r="AM299" s="5">
        <f t="shared" si="94"/>
        <v>0</v>
      </c>
      <c r="AN299" s="5">
        <f t="shared" si="95"/>
        <v>0.87296129503407982</v>
      </c>
      <c r="AO299" s="1" t="s">
        <v>102</v>
      </c>
    </row>
    <row r="300" spans="1:41" x14ac:dyDescent="0.25">
      <c r="A300" s="1" t="s">
        <v>19</v>
      </c>
      <c r="B300" s="1" t="s">
        <v>35</v>
      </c>
      <c r="C300" s="1" t="s">
        <v>21</v>
      </c>
      <c r="D300" s="1" t="s">
        <v>36</v>
      </c>
      <c r="E300" s="1" t="s">
        <v>96</v>
      </c>
      <c r="F300" s="1" t="s">
        <v>103</v>
      </c>
      <c r="G300" s="1" t="s">
        <v>114</v>
      </c>
      <c r="H300" s="1" t="s">
        <v>214</v>
      </c>
      <c r="I300" s="1" t="s">
        <v>100</v>
      </c>
      <c r="J300" s="1" t="s">
        <v>101</v>
      </c>
      <c r="K300" s="1" t="s">
        <v>382</v>
      </c>
      <c r="L300" s="1">
        <v>2600615</v>
      </c>
      <c r="M300" s="1" t="s">
        <v>478</v>
      </c>
      <c r="N300" s="8">
        <f>DATE(2019,3,11)</f>
        <v>43535</v>
      </c>
      <c r="O300" s="8">
        <f>DATE(2021,12,31)</f>
        <v>44561</v>
      </c>
      <c r="P300" s="1">
        <v>2440</v>
      </c>
      <c r="Q300" s="1">
        <v>800</v>
      </c>
      <c r="R300" s="1">
        <f t="shared" si="78"/>
        <v>2400</v>
      </c>
      <c r="S300" s="1">
        <v>2.5</v>
      </c>
      <c r="U300" s="1">
        <f t="shared" si="79"/>
        <v>1027</v>
      </c>
      <c r="V300" s="7">
        <f t="shared" si="80"/>
        <v>2.3369036027263874</v>
      </c>
      <c r="W300" s="7">
        <f t="shared" si="81"/>
        <v>852.9698149951314</v>
      </c>
      <c r="X300" s="7">
        <f t="shared" si="82"/>
        <v>1.0662122687439142</v>
      </c>
      <c r="AA300" s="8">
        <f t="shared" si="83"/>
        <v>44927</v>
      </c>
      <c r="AB300" s="8">
        <f t="shared" si="84"/>
        <v>45291</v>
      </c>
      <c r="AC300" s="1">
        <v>7</v>
      </c>
      <c r="AD300" s="1">
        <f t="shared" si="85"/>
        <v>0</v>
      </c>
      <c r="AE300" s="1">
        <f t="shared" si="86"/>
        <v>0</v>
      </c>
      <c r="AF300" s="1">
        <f t="shared" si="87"/>
        <v>0</v>
      </c>
      <c r="AG300" s="1">
        <f t="shared" si="88"/>
        <v>0</v>
      </c>
      <c r="AH300" s="1">
        <f t="shared" si="89"/>
        <v>182.5</v>
      </c>
      <c r="AI300" s="5">
        <f t="shared" si="90"/>
        <v>0.5</v>
      </c>
      <c r="AJ300" s="5">
        <f t="shared" si="91"/>
        <v>0.53310613437195709</v>
      </c>
      <c r="AK300" s="5">
        <f t="shared" si="92"/>
        <v>1.8658714703018497</v>
      </c>
      <c r="AL300" s="5">
        <f t="shared" si="93"/>
        <v>4.6646786757546241</v>
      </c>
      <c r="AM300" s="5">
        <f t="shared" si="94"/>
        <v>0</v>
      </c>
      <c r="AN300" s="5">
        <f t="shared" si="95"/>
        <v>4.6646786757546241</v>
      </c>
      <c r="AO300" s="1" t="s">
        <v>102</v>
      </c>
    </row>
    <row r="301" spans="1:41" x14ac:dyDescent="0.25">
      <c r="A301" s="1" t="s">
        <v>19</v>
      </c>
      <c r="B301" s="1" t="s">
        <v>35</v>
      </c>
      <c r="C301" s="1" t="s">
        <v>21</v>
      </c>
      <c r="D301" s="1" t="s">
        <v>36</v>
      </c>
      <c r="E301" s="1" t="s">
        <v>96</v>
      </c>
      <c r="F301" s="1" t="s">
        <v>103</v>
      </c>
      <c r="G301" s="1" t="s">
        <v>114</v>
      </c>
      <c r="H301" s="1" t="s">
        <v>119</v>
      </c>
      <c r="I301" s="1" t="s">
        <v>105</v>
      </c>
      <c r="J301" s="1" t="s">
        <v>106</v>
      </c>
      <c r="K301" s="1" t="s">
        <v>116</v>
      </c>
      <c r="L301" s="1">
        <v>2676245</v>
      </c>
      <c r="M301" s="1" t="s">
        <v>479</v>
      </c>
      <c r="N301" s="8">
        <f t="shared" ref="N301:N306" si="96">DATE(2020,2,3)</f>
        <v>43864</v>
      </c>
      <c r="O301" s="8">
        <f>DATE(2022,12,31)</f>
        <v>44926</v>
      </c>
      <c r="P301" s="1">
        <v>3614</v>
      </c>
      <c r="Q301" s="1">
        <v>1200</v>
      </c>
      <c r="R301" s="1">
        <f t="shared" si="78"/>
        <v>3200</v>
      </c>
      <c r="S301" s="1">
        <v>2.5</v>
      </c>
      <c r="U301" s="1">
        <f t="shared" si="79"/>
        <v>1063</v>
      </c>
      <c r="V301" s="7">
        <f t="shared" si="80"/>
        <v>3.0103480714957667</v>
      </c>
      <c r="W301" s="7">
        <f t="shared" si="81"/>
        <v>1098.7770460959548</v>
      </c>
      <c r="X301" s="7">
        <f t="shared" si="82"/>
        <v>1.3734713076199434</v>
      </c>
      <c r="AA301" s="8">
        <f t="shared" si="83"/>
        <v>44927</v>
      </c>
      <c r="AB301" s="8">
        <f t="shared" si="84"/>
        <v>45291</v>
      </c>
      <c r="AC301" s="1">
        <v>49</v>
      </c>
      <c r="AD301" s="1">
        <f t="shared" si="85"/>
        <v>0</v>
      </c>
      <c r="AE301" s="1">
        <f t="shared" si="86"/>
        <v>0</v>
      </c>
      <c r="AF301" s="1">
        <f t="shared" si="87"/>
        <v>0</v>
      </c>
      <c r="AG301" s="1">
        <f t="shared" si="88"/>
        <v>0</v>
      </c>
      <c r="AH301" s="1">
        <f t="shared" si="89"/>
        <v>182.5</v>
      </c>
      <c r="AI301" s="5">
        <f t="shared" si="90"/>
        <v>0.5</v>
      </c>
      <c r="AJ301" s="5">
        <f t="shared" si="91"/>
        <v>0.6867356538099717</v>
      </c>
      <c r="AK301" s="5">
        <f t="shared" si="92"/>
        <v>16.825023518344306</v>
      </c>
      <c r="AL301" s="5">
        <f t="shared" si="93"/>
        <v>42.062558795860767</v>
      </c>
      <c r="AM301" s="5">
        <f t="shared" si="94"/>
        <v>21.031279397930383</v>
      </c>
      <c r="AN301" s="5">
        <f t="shared" si="95"/>
        <v>63.09383819379115</v>
      </c>
      <c r="AO301" s="1" t="s">
        <v>102</v>
      </c>
    </row>
    <row r="302" spans="1:41" x14ac:dyDescent="0.25">
      <c r="A302" s="1" t="s">
        <v>19</v>
      </c>
      <c r="B302" s="1" t="s">
        <v>35</v>
      </c>
      <c r="C302" s="1" t="s">
        <v>21</v>
      </c>
      <c r="D302" s="1" t="s">
        <v>36</v>
      </c>
      <c r="E302" s="1" t="s">
        <v>96</v>
      </c>
      <c r="F302" s="1" t="s">
        <v>103</v>
      </c>
      <c r="G302" s="1" t="s">
        <v>114</v>
      </c>
      <c r="H302" s="1" t="s">
        <v>453</v>
      </c>
      <c r="I302" s="1" t="s">
        <v>255</v>
      </c>
      <c r="J302" s="1" t="s">
        <v>106</v>
      </c>
      <c r="K302" s="1" t="s">
        <v>116</v>
      </c>
      <c r="L302" s="1">
        <v>2676246</v>
      </c>
      <c r="M302" s="1" t="s">
        <v>480</v>
      </c>
      <c r="N302" s="8">
        <f t="shared" si="96"/>
        <v>43864</v>
      </c>
      <c r="O302" s="8">
        <f>DATE(2022,12,31)</f>
        <v>44926</v>
      </c>
      <c r="P302" s="1">
        <v>3498</v>
      </c>
      <c r="Q302" s="1">
        <v>1000</v>
      </c>
      <c r="R302" s="1">
        <f t="shared" si="78"/>
        <v>3100</v>
      </c>
      <c r="S302" s="1">
        <v>2.5</v>
      </c>
      <c r="U302" s="1">
        <f t="shared" si="79"/>
        <v>1063</v>
      </c>
      <c r="V302" s="7">
        <f t="shared" si="80"/>
        <v>2.9162746942615239</v>
      </c>
      <c r="W302" s="7">
        <f t="shared" si="81"/>
        <v>1064.4402634054561</v>
      </c>
      <c r="X302" s="7">
        <f t="shared" si="82"/>
        <v>1.3305503292568202</v>
      </c>
      <c r="AA302" s="8">
        <f t="shared" si="83"/>
        <v>44927</v>
      </c>
      <c r="AB302" s="8">
        <f t="shared" si="84"/>
        <v>45291</v>
      </c>
      <c r="AC302" s="1">
        <v>36</v>
      </c>
      <c r="AD302" s="1">
        <f t="shared" si="85"/>
        <v>0</v>
      </c>
      <c r="AE302" s="1">
        <f t="shared" si="86"/>
        <v>0</v>
      </c>
      <c r="AF302" s="1">
        <f t="shared" si="87"/>
        <v>0</v>
      </c>
      <c r="AG302" s="1">
        <f t="shared" si="88"/>
        <v>0</v>
      </c>
      <c r="AH302" s="1">
        <f t="shared" si="89"/>
        <v>182.5</v>
      </c>
      <c r="AI302" s="5">
        <f t="shared" si="90"/>
        <v>0.5</v>
      </c>
      <c r="AJ302" s="5">
        <f t="shared" si="91"/>
        <v>0.66527516462841008</v>
      </c>
      <c r="AK302" s="5">
        <f t="shared" si="92"/>
        <v>11.974952963311381</v>
      </c>
      <c r="AL302" s="5">
        <f t="shared" si="93"/>
        <v>29.937382408278452</v>
      </c>
      <c r="AM302" s="5">
        <f t="shared" si="94"/>
        <v>14.968691204139226</v>
      </c>
      <c r="AN302" s="5">
        <f t="shared" si="95"/>
        <v>44.906073612417678</v>
      </c>
      <c r="AO302" s="1" t="s">
        <v>102</v>
      </c>
    </row>
    <row r="303" spans="1:41" x14ac:dyDescent="0.25">
      <c r="A303" s="1" t="s">
        <v>19</v>
      </c>
      <c r="B303" s="1" t="s">
        <v>35</v>
      </c>
      <c r="C303" s="1" t="s">
        <v>21</v>
      </c>
      <c r="D303" s="1" t="s">
        <v>36</v>
      </c>
      <c r="E303" s="1" t="s">
        <v>96</v>
      </c>
      <c r="F303" s="1" t="s">
        <v>103</v>
      </c>
      <c r="G303" s="1" t="s">
        <v>320</v>
      </c>
      <c r="H303" s="1" t="s">
        <v>321</v>
      </c>
      <c r="I303" s="1" t="s">
        <v>174</v>
      </c>
      <c r="J303" s="1" t="s">
        <v>101</v>
      </c>
      <c r="L303" s="1">
        <v>2676257</v>
      </c>
      <c r="M303" s="1" t="s">
        <v>481</v>
      </c>
      <c r="N303" s="8">
        <f t="shared" si="96"/>
        <v>43864</v>
      </c>
      <c r="O303" s="8">
        <f>DATE(2023,12,31)</f>
        <v>45291</v>
      </c>
      <c r="P303" s="1">
        <v>3212</v>
      </c>
      <c r="Q303" s="1">
        <v>3200</v>
      </c>
      <c r="R303" s="1">
        <f t="shared" si="78"/>
        <v>3200</v>
      </c>
      <c r="S303" s="1">
        <v>2.5</v>
      </c>
      <c r="U303" s="1">
        <f t="shared" si="79"/>
        <v>1428</v>
      </c>
      <c r="V303" s="7">
        <f t="shared" si="80"/>
        <v>2.2408963585434174</v>
      </c>
      <c r="W303" s="7">
        <f t="shared" si="81"/>
        <v>817.92717086834739</v>
      </c>
      <c r="X303" s="7">
        <f t="shared" si="82"/>
        <v>1.0224089635854343</v>
      </c>
      <c r="AA303" s="8">
        <f t="shared" si="83"/>
        <v>44927</v>
      </c>
      <c r="AB303" s="8">
        <f t="shared" si="84"/>
        <v>45291</v>
      </c>
      <c r="AC303" s="1">
        <v>8</v>
      </c>
      <c r="AD303" s="1">
        <f t="shared" si="85"/>
        <v>0</v>
      </c>
      <c r="AE303" s="1">
        <f t="shared" si="86"/>
        <v>0</v>
      </c>
      <c r="AF303" s="1">
        <f t="shared" si="87"/>
        <v>365</v>
      </c>
      <c r="AG303" s="1">
        <f t="shared" si="88"/>
        <v>0</v>
      </c>
      <c r="AH303" s="1">
        <f t="shared" si="89"/>
        <v>0</v>
      </c>
      <c r="AI303" s="5">
        <f t="shared" si="90"/>
        <v>1</v>
      </c>
      <c r="AJ303" s="5">
        <f t="shared" si="91"/>
        <v>1.0224089635854343</v>
      </c>
      <c r="AK303" s="5">
        <f t="shared" si="92"/>
        <v>8.1792717086834745</v>
      </c>
      <c r="AL303" s="5">
        <f t="shared" si="93"/>
        <v>20.448179271708685</v>
      </c>
      <c r="AM303" s="5">
        <f t="shared" si="94"/>
        <v>0</v>
      </c>
      <c r="AN303" s="5">
        <f t="shared" si="95"/>
        <v>20.448179271708685</v>
      </c>
      <c r="AO303" s="1" t="s">
        <v>102</v>
      </c>
    </row>
    <row r="304" spans="1:41" x14ac:dyDescent="0.25">
      <c r="A304" s="1" t="s">
        <v>19</v>
      </c>
      <c r="B304" s="1" t="s">
        <v>35</v>
      </c>
      <c r="C304" s="1" t="s">
        <v>21</v>
      </c>
      <c r="D304" s="1" t="s">
        <v>36</v>
      </c>
      <c r="E304" s="1" t="s">
        <v>96</v>
      </c>
      <c r="F304" s="1" t="s">
        <v>103</v>
      </c>
      <c r="G304" s="1" t="s">
        <v>320</v>
      </c>
      <c r="H304" s="1" t="s">
        <v>451</v>
      </c>
      <c r="I304" s="1" t="s">
        <v>174</v>
      </c>
      <c r="J304" s="1" t="s">
        <v>101</v>
      </c>
      <c r="L304" s="1">
        <v>2676258</v>
      </c>
      <c r="M304" s="1" t="s">
        <v>482</v>
      </c>
      <c r="N304" s="8">
        <f t="shared" si="96"/>
        <v>43864</v>
      </c>
      <c r="O304" s="8">
        <f>DATE(2023,12,31)</f>
        <v>45291</v>
      </c>
      <c r="P304" s="1">
        <v>3212</v>
      </c>
      <c r="Q304" s="1">
        <v>3200</v>
      </c>
      <c r="R304" s="1">
        <f t="shared" si="78"/>
        <v>3200</v>
      </c>
      <c r="S304" s="1">
        <v>2.5</v>
      </c>
      <c r="U304" s="1">
        <f t="shared" si="79"/>
        <v>1428</v>
      </c>
      <c r="V304" s="7">
        <f t="shared" si="80"/>
        <v>2.2408963585434174</v>
      </c>
      <c r="W304" s="7">
        <f t="shared" si="81"/>
        <v>817.92717086834739</v>
      </c>
      <c r="X304" s="7">
        <f t="shared" si="82"/>
        <v>1.0224089635854343</v>
      </c>
      <c r="AA304" s="8">
        <f t="shared" si="83"/>
        <v>44927</v>
      </c>
      <c r="AB304" s="8">
        <f t="shared" si="84"/>
        <v>45291</v>
      </c>
      <c r="AC304" s="1">
        <v>6</v>
      </c>
      <c r="AD304" s="1">
        <f t="shared" si="85"/>
        <v>0</v>
      </c>
      <c r="AE304" s="1">
        <f t="shared" si="86"/>
        <v>0</v>
      </c>
      <c r="AF304" s="1">
        <f t="shared" si="87"/>
        <v>365</v>
      </c>
      <c r="AG304" s="1">
        <f t="shared" si="88"/>
        <v>0</v>
      </c>
      <c r="AH304" s="1">
        <f t="shared" si="89"/>
        <v>0</v>
      </c>
      <c r="AI304" s="5">
        <f t="shared" si="90"/>
        <v>1</v>
      </c>
      <c r="AJ304" s="5">
        <f t="shared" si="91"/>
        <v>1.0224089635854343</v>
      </c>
      <c r="AK304" s="5">
        <f t="shared" si="92"/>
        <v>6.1344537815126063</v>
      </c>
      <c r="AL304" s="5">
        <f t="shared" si="93"/>
        <v>15.336134453781515</v>
      </c>
      <c r="AM304" s="5">
        <f t="shared" si="94"/>
        <v>0</v>
      </c>
      <c r="AN304" s="5">
        <f t="shared" si="95"/>
        <v>15.336134453781515</v>
      </c>
      <c r="AO304" s="1" t="s">
        <v>102</v>
      </c>
    </row>
    <row r="305" spans="1:41" x14ac:dyDescent="0.25">
      <c r="A305" s="1" t="s">
        <v>19</v>
      </c>
      <c r="B305" s="1" t="s">
        <v>35</v>
      </c>
      <c r="C305" s="1" t="s">
        <v>21</v>
      </c>
      <c r="D305" s="1" t="s">
        <v>36</v>
      </c>
      <c r="E305" s="1" t="s">
        <v>96</v>
      </c>
      <c r="F305" s="1" t="s">
        <v>103</v>
      </c>
      <c r="G305" s="1" t="s">
        <v>320</v>
      </c>
      <c r="H305" s="1" t="s">
        <v>456</v>
      </c>
      <c r="I305" s="1" t="s">
        <v>174</v>
      </c>
      <c r="J305" s="1" t="s">
        <v>101</v>
      </c>
      <c r="L305" s="1">
        <v>2676259</v>
      </c>
      <c r="M305" s="1" t="s">
        <v>483</v>
      </c>
      <c r="N305" s="8">
        <f t="shared" si="96"/>
        <v>43864</v>
      </c>
      <c r="O305" s="8">
        <f>DATE(2023,12,31)</f>
        <v>45291</v>
      </c>
      <c r="P305" s="1">
        <v>3212</v>
      </c>
      <c r="Q305" s="1">
        <v>3200</v>
      </c>
      <c r="R305" s="1">
        <f t="shared" si="78"/>
        <v>3200</v>
      </c>
      <c r="S305" s="1">
        <v>2.5</v>
      </c>
      <c r="U305" s="1">
        <f t="shared" si="79"/>
        <v>1428</v>
      </c>
      <c r="V305" s="7">
        <f t="shared" si="80"/>
        <v>2.2408963585434174</v>
      </c>
      <c r="W305" s="7">
        <f t="shared" si="81"/>
        <v>817.92717086834739</v>
      </c>
      <c r="X305" s="7">
        <f t="shared" si="82"/>
        <v>1.0224089635854343</v>
      </c>
      <c r="AA305" s="8">
        <f t="shared" si="83"/>
        <v>44927</v>
      </c>
      <c r="AB305" s="8">
        <f t="shared" si="84"/>
        <v>45291</v>
      </c>
      <c r="AC305" s="1">
        <v>11</v>
      </c>
      <c r="AD305" s="1">
        <f t="shared" si="85"/>
        <v>0</v>
      </c>
      <c r="AE305" s="1">
        <f t="shared" si="86"/>
        <v>0</v>
      </c>
      <c r="AF305" s="1">
        <f t="shared" si="87"/>
        <v>365</v>
      </c>
      <c r="AG305" s="1">
        <f t="shared" si="88"/>
        <v>0</v>
      </c>
      <c r="AH305" s="1">
        <f t="shared" si="89"/>
        <v>0</v>
      </c>
      <c r="AI305" s="5">
        <f t="shared" si="90"/>
        <v>1</v>
      </c>
      <c r="AJ305" s="5">
        <f t="shared" si="91"/>
        <v>1.0224089635854343</v>
      </c>
      <c r="AK305" s="5">
        <f t="shared" si="92"/>
        <v>11.246498599439777</v>
      </c>
      <c r="AL305" s="5">
        <f t="shared" si="93"/>
        <v>28.116246498599441</v>
      </c>
      <c r="AM305" s="5">
        <f t="shared" si="94"/>
        <v>0</v>
      </c>
      <c r="AN305" s="5">
        <f t="shared" si="95"/>
        <v>28.116246498599441</v>
      </c>
      <c r="AO305" s="1" t="s">
        <v>102</v>
      </c>
    </row>
    <row r="306" spans="1:41" x14ac:dyDescent="0.25">
      <c r="A306" s="1" t="s">
        <v>19</v>
      </c>
      <c r="B306" s="1" t="s">
        <v>35</v>
      </c>
      <c r="C306" s="1" t="s">
        <v>21</v>
      </c>
      <c r="D306" s="1" t="s">
        <v>36</v>
      </c>
      <c r="E306" s="1" t="s">
        <v>96</v>
      </c>
      <c r="F306" s="1" t="s">
        <v>103</v>
      </c>
      <c r="G306" s="1" t="s">
        <v>98</v>
      </c>
      <c r="H306" s="1" t="s">
        <v>355</v>
      </c>
      <c r="I306" s="1" t="s">
        <v>105</v>
      </c>
      <c r="J306" s="1" t="s">
        <v>106</v>
      </c>
      <c r="L306" s="1">
        <v>2676260</v>
      </c>
      <c r="M306" s="1" t="s">
        <v>484</v>
      </c>
      <c r="N306" s="8">
        <f t="shared" si="96"/>
        <v>43864</v>
      </c>
      <c r="O306" s="8">
        <f>DATE(2024,12,31)</f>
        <v>45657</v>
      </c>
      <c r="P306" s="1">
        <v>4069</v>
      </c>
      <c r="Q306" s="1">
        <v>3600</v>
      </c>
      <c r="R306" s="1">
        <f t="shared" si="78"/>
        <v>3600</v>
      </c>
      <c r="S306" s="1">
        <v>2.5</v>
      </c>
      <c r="U306" s="1">
        <f t="shared" si="79"/>
        <v>1794</v>
      </c>
      <c r="V306" s="7">
        <f t="shared" si="80"/>
        <v>2.0066889632107023</v>
      </c>
      <c r="W306" s="7">
        <f t="shared" si="81"/>
        <v>732.44147157190639</v>
      </c>
      <c r="X306" s="7">
        <f t="shared" si="82"/>
        <v>0.91555183946488294</v>
      </c>
      <c r="AA306" s="8">
        <f t="shared" si="83"/>
        <v>44927</v>
      </c>
      <c r="AB306" s="8">
        <f t="shared" si="84"/>
        <v>45291</v>
      </c>
      <c r="AC306" s="1">
        <v>23</v>
      </c>
      <c r="AD306" s="1">
        <f t="shared" si="85"/>
        <v>365</v>
      </c>
      <c r="AE306" s="1">
        <f t="shared" si="86"/>
        <v>0</v>
      </c>
      <c r="AF306" s="1">
        <f t="shared" si="87"/>
        <v>0</v>
      </c>
      <c r="AG306" s="1">
        <f t="shared" si="88"/>
        <v>0</v>
      </c>
      <c r="AH306" s="1">
        <f t="shared" si="89"/>
        <v>0</v>
      </c>
      <c r="AI306" s="5">
        <f t="shared" si="90"/>
        <v>1</v>
      </c>
      <c r="AJ306" s="5">
        <f t="shared" si="91"/>
        <v>0.91555183946488294</v>
      </c>
      <c r="AK306" s="5">
        <f t="shared" si="92"/>
        <v>21.057692307692307</v>
      </c>
      <c r="AL306" s="5">
        <f t="shared" si="93"/>
        <v>52.644230769230766</v>
      </c>
      <c r="AM306" s="5">
        <f t="shared" si="94"/>
        <v>26.322115384615383</v>
      </c>
      <c r="AN306" s="5">
        <f t="shared" si="95"/>
        <v>78.966346153846146</v>
      </c>
      <c r="AO306" s="1" t="s">
        <v>102</v>
      </c>
    </row>
    <row r="307" spans="1:41" x14ac:dyDescent="0.25">
      <c r="A307" s="1" t="s">
        <v>19</v>
      </c>
      <c r="B307" s="1" t="s">
        <v>35</v>
      </c>
      <c r="C307" s="1" t="s">
        <v>21</v>
      </c>
      <c r="D307" s="1" t="s">
        <v>36</v>
      </c>
      <c r="E307" s="1" t="s">
        <v>96</v>
      </c>
      <c r="F307" s="1" t="s">
        <v>103</v>
      </c>
      <c r="G307" s="1" t="s">
        <v>320</v>
      </c>
      <c r="H307" s="1" t="s">
        <v>321</v>
      </c>
      <c r="I307" s="1" t="s">
        <v>174</v>
      </c>
      <c r="J307" s="1" t="s">
        <v>101</v>
      </c>
      <c r="L307" s="1">
        <v>2766568</v>
      </c>
      <c r="M307" s="1" t="s">
        <v>485</v>
      </c>
      <c r="N307" s="8">
        <f t="shared" ref="N307:N312" si="97">DATE(2021,4,1)</f>
        <v>44287</v>
      </c>
      <c r="O307" s="8">
        <f>DATE(2024,12,31)</f>
        <v>45657</v>
      </c>
      <c r="P307" s="1">
        <v>3212</v>
      </c>
      <c r="Q307" s="1">
        <v>3200</v>
      </c>
      <c r="R307" s="1">
        <f t="shared" si="78"/>
        <v>3200</v>
      </c>
      <c r="S307" s="1">
        <v>2.5</v>
      </c>
      <c r="U307" s="1">
        <f t="shared" si="79"/>
        <v>1371</v>
      </c>
      <c r="V307" s="7">
        <f t="shared" si="80"/>
        <v>2.3340627279358133</v>
      </c>
      <c r="W307" s="7">
        <f t="shared" si="81"/>
        <v>851.93289569657179</v>
      </c>
      <c r="X307" s="7">
        <f t="shared" si="82"/>
        <v>1.0649161196207146</v>
      </c>
      <c r="AA307" s="8">
        <f t="shared" si="83"/>
        <v>44927</v>
      </c>
      <c r="AB307" s="8">
        <f t="shared" si="84"/>
        <v>45291</v>
      </c>
      <c r="AC307" s="1">
        <v>13</v>
      </c>
      <c r="AD307" s="1">
        <f t="shared" si="85"/>
        <v>365</v>
      </c>
      <c r="AE307" s="1">
        <f t="shared" si="86"/>
        <v>0</v>
      </c>
      <c r="AF307" s="1">
        <f t="shared" si="87"/>
        <v>0</v>
      </c>
      <c r="AG307" s="1">
        <f t="shared" si="88"/>
        <v>0</v>
      </c>
      <c r="AH307" s="1">
        <f t="shared" si="89"/>
        <v>0</v>
      </c>
      <c r="AI307" s="5">
        <f t="shared" si="90"/>
        <v>1</v>
      </c>
      <c r="AJ307" s="5">
        <f t="shared" si="91"/>
        <v>1.0649161196207146</v>
      </c>
      <c r="AK307" s="5">
        <f t="shared" si="92"/>
        <v>13.84390955506929</v>
      </c>
      <c r="AL307" s="5">
        <f t="shared" si="93"/>
        <v>34.609773887673228</v>
      </c>
      <c r="AM307" s="5">
        <f t="shared" si="94"/>
        <v>0</v>
      </c>
      <c r="AN307" s="5">
        <f t="shared" si="95"/>
        <v>34.609773887673228</v>
      </c>
      <c r="AO307" s="1" t="s">
        <v>102</v>
      </c>
    </row>
    <row r="308" spans="1:41" x14ac:dyDescent="0.25">
      <c r="A308" s="1" t="s">
        <v>19</v>
      </c>
      <c r="B308" s="1" t="s">
        <v>35</v>
      </c>
      <c r="C308" s="1" t="s">
        <v>21</v>
      </c>
      <c r="D308" s="1" t="s">
        <v>36</v>
      </c>
      <c r="E308" s="1" t="s">
        <v>96</v>
      </c>
      <c r="F308" s="1" t="s">
        <v>103</v>
      </c>
      <c r="G308" s="1" t="s">
        <v>320</v>
      </c>
      <c r="H308" s="1" t="s">
        <v>456</v>
      </c>
      <c r="I308" s="1" t="s">
        <v>174</v>
      </c>
      <c r="J308" s="1" t="s">
        <v>101</v>
      </c>
      <c r="L308" s="1">
        <v>2766734</v>
      </c>
      <c r="M308" s="1" t="s">
        <v>486</v>
      </c>
      <c r="N308" s="8">
        <f t="shared" si="97"/>
        <v>44287</v>
      </c>
      <c r="O308" s="8">
        <f>DATE(2024,12,31)</f>
        <v>45657</v>
      </c>
      <c r="P308" s="1">
        <v>3212</v>
      </c>
      <c r="Q308" s="1">
        <v>3200</v>
      </c>
      <c r="R308" s="1">
        <f t="shared" si="78"/>
        <v>3200</v>
      </c>
      <c r="S308" s="1">
        <v>2.5</v>
      </c>
      <c r="U308" s="1">
        <f t="shared" si="79"/>
        <v>1371</v>
      </c>
      <c r="V308" s="7">
        <f t="shared" si="80"/>
        <v>2.3340627279358133</v>
      </c>
      <c r="W308" s="7">
        <f t="shared" si="81"/>
        <v>851.93289569657179</v>
      </c>
      <c r="X308" s="7">
        <f t="shared" si="82"/>
        <v>1.0649161196207146</v>
      </c>
      <c r="AA308" s="8">
        <f t="shared" si="83"/>
        <v>44927</v>
      </c>
      <c r="AB308" s="8">
        <f t="shared" si="84"/>
        <v>45291</v>
      </c>
      <c r="AC308" s="1">
        <v>17</v>
      </c>
      <c r="AD308" s="1">
        <f t="shared" si="85"/>
        <v>365</v>
      </c>
      <c r="AE308" s="1">
        <f t="shared" si="86"/>
        <v>0</v>
      </c>
      <c r="AF308" s="1">
        <f t="shared" si="87"/>
        <v>0</v>
      </c>
      <c r="AG308" s="1">
        <f t="shared" si="88"/>
        <v>0</v>
      </c>
      <c r="AH308" s="1">
        <f t="shared" si="89"/>
        <v>0</v>
      </c>
      <c r="AI308" s="5">
        <f t="shared" si="90"/>
        <v>1</v>
      </c>
      <c r="AJ308" s="5">
        <f t="shared" si="91"/>
        <v>1.0649161196207146</v>
      </c>
      <c r="AK308" s="5">
        <f t="shared" si="92"/>
        <v>18.10357403355215</v>
      </c>
      <c r="AL308" s="5">
        <f t="shared" si="93"/>
        <v>45.258935083880374</v>
      </c>
      <c r="AM308" s="5">
        <f t="shared" si="94"/>
        <v>0</v>
      </c>
      <c r="AN308" s="5">
        <f t="shared" si="95"/>
        <v>45.258935083880374</v>
      </c>
      <c r="AO308" s="1" t="s">
        <v>102</v>
      </c>
    </row>
    <row r="309" spans="1:41" x14ac:dyDescent="0.25">
      <c r="A309" s="1" t="s">
        <v>19</v>
      </c>
      <c r="B309" s="1" t="s">
        <v>35</v>
      </c>
      <c r="C309" s="1" t="s">
        <v>21</v>
      </c>
      <c r="D309" s="1" t="s">
        <v>36</v>
      </c>
      <c r="E309" s="1" t="s">
        <v>96</v>
      </c>
      <c r="F309" s="1" t="s">
        <v>103</v>
      </c>
      <c r="G309" s="1" t="s">
        <v>320</v>
      </c>
      <c r="H309" s="1" t="s">
        <v>451</v>
      </c>
      <c r="I309" s="1" t="s">
        <v>174</v>
      </c>
      <c r="J309" s="1" t="s">
        <v>101</v>
      </c>
      <c r="L309" s="1">
        <v>2766735</v>
      </c>
      <c r="M309" s="1" t="s">
        <v>487</v>
      </c>
      <c r="N309" s="8">
        <f t="shared" si="97"/>
        <v>44287</v>
      </c>
      <c r="O309" s="8">
        <f>DATE(2024,12,31)</f>
        <v>45657</v>
      </c>
      <c r="P309" s="1">
        <v>3212</v>
      </c>
      <c r="Q309" s="1">
        <v>3200</v>
      </c>
      <c r="R309" s="1">
        <f t="shared" si="78"/>
        <v>3200</v>
      </c>
      <c r="S309" s="1">
        <v>2.5</v>
      </c>
      <c r="U309" s="1">
        <f t="shared" si="79"/>
        <v>1371</v>
      </c>
      <c r="V309" s="7">
        <f t="shared" si="80"/>
        <v>2.3340627279358133</v>
      </c>
      <c r="W309" s="7">
        <f t="shared" si="81"/>
        <v>851.93289569657179</v>
      </c>
      <c r="X309" s="7">
        <f t="shared" si="82"/>
        <v>1.0649161196207146</v>
      </c>
      <c r="AA309" s="8">
        <f t="shared" si="83"/>
        <v>44927</v>
      </c>
      <c r="AB309" s="8">
        <f t="shared" si="84"/>
        <v>45291</v>
      </c>
      <c r="AC309" s="1">
        <v>14</v>
      </c>
      <c r="AD309" s="1">
        <f t="shared" si="85"/>
        <v>365</v>
      </c>
      <c r="AE309" s="1">
        <f t="shared" si="86"/>
        <v>0</v>
      </c>
      <c r="AF309" s="1">
        <f t="shared" si="87"/>
        <v>0</v>
      </c>
      <c r="AG309" s="1">
        <f t="shared" si="88"/>
        <v>0</v>
      </c>
      <c r="AH309" s="1">
        <f t="shared" si="89"/>
        <v>0</v>
      </c>
      <c r="AI309" s="5">
        <f t="shared" si="90"/>
        <v>1</v>
      </c>
      <c r="AJ309" s="5">
        <f t="shared" si="91"/>
        <v>1.0649161196207146</v>
      </c>
      <c r="AK309" s="5">
        <f t="shared" si="92"/>
        <v>14.908825674690005</v>
      </c>
      <c r="AL309" s="5">
        <f t="shared" si="93"/>
        <v>37.272064186725011</v>
      </c>
      <c r="AM309" s="5">
        <f t="shared" si="94"/>
        <v>0</v>
      </c>
      <c r="AN309" s="5">
        <f t="shared" si="95"/>
        <v>37.272064186725011</v>
      </c>
      <c r="AO309" s="1" t="s">
        <v>102</v>
      </c>
    </row>
    <row r="310" spans="1:41" x14ac:dyDescent="0.25">
      <c r="A310" s="1" t="s">
        <v>19</v>
      </c>
      <c r="B310" s="1" t="s">
        <v>35</v>
      </c>
      <c r="C310" s="1" t="s">
        <v>21</v>
      </c>
      <c r="D310" s="1" t="s">
        <v>36</v>
      </c>
      <c r="E310" s="1" t="s">
        <v>96</v>
      </c>
      <c r="F310" s="1" t="s">
        <v>103</v>
      </c>
      <c r="G310" s="1" t="s">
        <v>98</v>
      </c>
      <c r="H310" s="1" t="s">
        <v>355</v>
      </c>
      <c r="I310" s="1" t="s">
        <v>105</v>
      </c>
      <c r="J310" s="1" t="s">
        <v>106</v>
      </c>
      <c r="L310" s="1">
        <v>2766736</v>
      </c>
      <c r="M310" s="1" t="s">
        <v>488</v>
      </c>
      <c r="N310" s="8">
        <f t="shared" si="97"/>
        <v>44287</v>
      </c>
      <c r="O310" s="8">
        <f>DATE(2025,12,31)</f>
        <v>46022</v>
      </c>
      <c r="P310" s="1">
        <v>4840</v>
      </c>
      <c r="Q310" s="1">
        <v>3600</v>
      </c>
      <c r="R310" s="1">
        <f t="shared" si="78"/>
        <v>3600</v>
      </c>
      <c r="S310" s="1">
        <v>2.5</v>
      </c>
      <c r="U310" s="1">
        <f t="shared" si="79"/>
        <v>1736</v>
      </c>
      <c r="V310" s="7">
        <f t="shared" si="80"/>
        <v>2.0737327188940093</v>
      </c>
      <c r="W310" s="7">
        <f t="shared" si="81"/>
        <v>756.91244239631339</v>
      </c>
      <c r="X310" s="7">
        <f t="shared" si="82"/>
        <v>0.94614055299539179</v>
      </c>
      <c r="AA310" s="8">
        <f t="shared" si="83"/>
        <v>44927</v>
      </c>
      <c r="AB310" s="8">
        <f t="shared" si="84"/>
        <v>45291</v>
      </c>
      <c r="AC310" s="1">
        <v>39</v>
      </c>
      <c r="AD310" s="1">
        <f t="shared" si="85"/>
        <v>365</v>
      </c>
      <c r="AE310" s="1">
        <f t="shared" si="86"/>
        <v>0</v>
      </c>
      <c r="AF310" s="1">
        <f t="shared" si="87"/>
        <v>0</v>
      </c>
      <c r="AG310" s="1">
        <f t="shared" si="88"/>
        <v>0</v>
      </c>
      <c r="AH310" s="1">
        <f t="shared" si="89"/>
        <v>0</v>
      </c>
      <c r="AI310" s="5">
        <f t="shared" si="90"/>
        <v>1</v>
      </c>
      <c r="AJ310" s="5">
        <f t="shared" si="91"/>
        <v>0.94614055299539179</v>
      </c>
      <c r="AK310" s="5">
        <f t="shared" si="92"/>
        <v>36.899481566820278</v>
      </c>
      <c r="AL310" s="5">
        <f t="shared" si="93"/>
        <v>92.24870391705069</v>
      </c>
      <c r="AM310" s="5">
        <f t="shared" si="94"/>
        <v>46.124351958525345</v>
      </c>
      <c r="AN310" s="5">
        <f t="shared" si="95"/>
        <v>138.37305587557603</v>
      </c>
      <c r="AO310" s="1" t="s">
        <v>102</v>
      </c>
    </row>
    <row r="311" spans="1:41" x14ac:dyDescent="0.25">
      <c r="A311" s="1" t="s">
        <v>19</v>
      </c>
      <c r="B311" s="1" t="s">
        <v>35</v>
      </c>
      <c r="C311" s="1" t="s">
        <v>21</v>
      </c>
      <c r="D311" s="1" t="s">
        <v>36</v>
      </c>
      <c r="E311" s="1" t="s">
        <v>96</v>
      </c>
      <c r="F311" s="1" t="s">
        <v>103</v>
      </c>
      <c r="G311" s="1" t="s">
        <v>114</v>
      </c>
      <c r="H311" s="1" t="s">
        <v>119</v>
      </c>
      <c r="I311" s="1" t="s">
        <v>105</v>
      </c>
      <c r="J311" s="1" t="s">
        <v>106</v>
      </c>
      <c r="K311" s="1" t="s">
        <v>116</v>
      </c>
      <c r="L311" s="1">
        <v>2766737</v>
      </c>
      <c r="M311" s="1" t="s">
        <v>489</v>
      </c>
      <c r="N311" s="8">
        <f t="shared" si="97"/>
        <v>44287</v>
      </c>
      <c r="O311" s="8">
        <f>DATE(2023,12,31)</f>
        <v>45291</v>
      </c>
      <c r="P311" s="1">
        <v>3614</v>
      </c>
      <c r="Q311" s="1">
        <v>1200</v>
      </c>
      <c r="R311" s="1">
        <f t="shared" si="78"/>
        <v>3200</v>
      </c>
      <c r="S311" s="1">
        <v>2.5</v>
      </c>
      <c r="U311" s="1">
        <f t="shared" si="79"/>
        <v>1005</v>
      </c>
      <c r="V311" s="7">
        <f t="shared" si="80"/>
        <v>3.1840796019900499</v>
      </c>
      <c r="W311" s="7">
        <f t="shared" si="81"/>
        <v>1162.1890547263681</v>
      </c>
      <c r="X311" s="7">
        <f t="shared" si="82"/>
        <v>1.4527363184079602</v>
      </c>
      <c r="AA311" s="8">
        <f t="shared" si="83"/>
        <v>44927</v>
      </c>
      <c r="AB311" s="8">
        <f t="shared" si="84"/>
        <v>45291</v>
      </c>
      <c r="AC311" s="1">
        <v>27</v>
      </c>
      <c r="AD311" s="1">
        <f t="shared" si="85"/>
        <v>0</v>
      </c>
      <c r="AE311" s="1">
        <f t="shared" si="86"/>
        <v>0</v>
      </c>
      <c r="AF311" s="1">
        <f t="shared" si="87"/>
        <v>365</v>
      </c>
      <c r="AG311" s="1">
        <f t="shared" si="88"/>
        <v>0</v>
      </c>
      <c r="AH311" s="1">
        <f t="shared" si="89"/>
        <v>0</v>
      </c>
      <c r="AI311" s="5">
        <f t="shared" si="90"/>
        <v>1</v>
      </c>
      <c r="AJ311" s="5">
        <f t="shared" si="91"/>
        <v>1.4527363184079602</v>
      </c>
      <c r="AK311" s="5">
        <f t="shared" si="92"/>
        <v>39.223880597014926</v>
      </c>
      <c r="AL311" s="5">
        <f t="shared" si="93"/>
        <v>98.059701492537314</v>
      </c>
      <c r="AM311" s="5">
        <f t="shared" si="94"/>
        <v>49.029850746268657</v>
      </c>
      <c r="AN311" s="5">
        <f t="shared" si="95"/>
        <v>147.08955223880596</v>
      </c>
      <c r="AO311" s="1" t="s">
        <v>102</v>
      </c>
    </row>
    <row r="312" spans="1:41" x14ac:dyDescent="0.25">
      <c r="A312" s="1" t="s">
        <v>19</v>
      </c>
      <c r="B312" s="1" t="s">
        <v>35</v>
      </c>
      <c r="C312" s="1" t="s">
        <v>21</v>
      </c>
      <c r="D312" s="1" t="s">
        <v>36</v>
      </c>
      <c r="E312" s="1" t="s">
        <v>96</v>
      </c>
      <c r="F312" s="1" t="s">
        <v>103</v>
      </c>
      <c r="G312" s="1" t="s">
        <v>114</v>
      </c>
      <c r="H312" s="1" t="s">
        <v>453</v>
      </c>
      <c r="I312" s="1" t="s">
        <v>255</v>
      </c>
      <c r="J312" s="1" t="s">
        <v>106</v>
      </c>
      <c r="K312" s="1" t="s">
        <v>116</v>
      </c>
      <c r="L312" s="1">
        <v>2766746</v>
      </c>
      <c r="M312" s="1" t="s">
        <v>490</v>
      </c>
      <c r="N312" s="8">
        <f t="shared" si="97"/>
        <v>44287</v>
      </c>
      <c r="O312" s="8">
        <f>DATE(2023,12,31)</f>
        <v>45291</v>
      </c>
      <c r="P312" s="1">
        <v>3498</v>
      </c>
      <c r="Q312" s="1">
        <v>1000</v>
      </c>
      <c r="R312" s="1">
        <f t="shared" si="78"/>
        <v>3100</v>
      </c>
      <c r="S312" s="1">
        <v>2.5</v>
      </c>
      <c r="U312" s="1">
        <f t="shared" si="79"/>
        <v>1005</v>
      </c>
      <c r="V312" s="7">
        <f t="shared" si="80"/>
        <v>3.0845771144278609</v>
      </c>
      <c r="W312" s="7">
        <f t="shared" si="81"/>
        <v>1125.8706467661693</v>
      </c>
      <c r="X312" s="7">
        <f t="shared" si="82"/>
        <v>1.4073383084577116</v>
      </c>
      <c r="AA312" s="8">
        <f t="shared" si="83"/>
        <v>44927</v>
      </c>
      <c r="AB312" s="8">
        <f t="shared" si="84"/>
        <v>45291</v>
      </c>
      <c r="AC312" s="1">
        <v>14</v>
      </c>
      <c r="AD312" s="1">
        <f t="shared" si="85"/>
        <v>0</v>
      </c>
      <c r="AE312" s="1">
        <f t="shared" si="86"/>
        <v>0</v>
      </c>
      <c r="AF312" s="1">
        <f t="shared" si="87"/>
        <v>365</v>
      </c>
      <c r="AG312" s="1">
        <f t="shared" si="88"/>
        <v>0</v>
      </c>
      <c r="AH312" s="1">
        <f t="shared" si="89"/>
        <v>0</v>
      </c>
      <c r="AI312" s="5">
        <f t="shared" si="90"/>
        <v>1</v>
      </c>
      <c r="AJ312" s="5">
        <f t="shared" si="91"/>
        <v>1.4073383084577116</v>
      </c>
      <c r="AK312" s="5">
        <f t="shared" si="92"/>
        <v>19.702736318407961</v>
      </c>
      <c r="AL312" s="5">
        <f t="shared" si="93"/>
        <v>49.256840796019901</v>
      </c>
      <c r="AM312" s="5">
        <f t="shared" si="94"/>
        <v>24.628420398009951</v>
      </c>
      <c r="AN312" s="5">
        <f t="shared" si="95"/>
        <v>73.885261194029852</v>
      </c>
      <c r="AO312" s="1" t="s">
        <v>102</v>
      </c>
    </row>
    <row r="313" spans="1:41" x14ac:dyDescent="0.25">
      <c r="A313" s="1" t="s">
        <v>19</v>
      </c>
      <c r="B313" s="1" t="s">
        <v>35</v>
      </c>
      <c r="C313" s="1" t="s">
        <v>21</v>
      </c>
      <c r="D313" s="1" t="s">
        <v>36</v>
      </c>
      <c r="E313" s="1" t="s">
        <v>96</v>
      </c>
      <c r="F313" s="1" t="s">
        <v>103</v>
      </c>
      <c r="G313" s="1" t="s">
        <v>185</v>
      </c>
      <c r="H313" s="1" t="s">
        <v>491</v>
      </c>
      <c r="I313" s="1" t="s">
        <v>174</v>
      </c>
      <c r="J313" s="1" t="s">
        <v>101</v>
      </c>
      <c r="L313" s="1">
        <v>2789041</v>
      </c>
      <c r="M313" s="1" t="s">
        <v>492</v>
      </c>
      <c r="N313" s="8">
        <f>DATE(2021,8,2)</f>
        <v>44410</v>
      </c>
      <c r="O313" s="8">
        <f>DATE(2023,1,2)</f>
        <v>44928</v>
      </c>
      <c r="P313" s="1">
        <v>450</v>
      </c>
      <c r="Q313" s="1">
        <v>360</v>
      </c>
      <c r="R313" s="1">
        <f t="shared" si="78"/>
        <v>360</v>
      </c>
      <c r="S313" s="1">
        <v>2</v>
      </c>
      <c r="U313" s="1">
        <f t="shared" si="79"/>
        <v>519</v>
      </c>
      <c r="V313" s="7">
        <f t="shared" si="80"/>
        <v>0.69364161849710981</v>
      </c>
      <c r="W313" s="7">
        <f t="shared" si="81"/>
        <v>253.17919075144508</v>
      </c>
      <c r="X313" s="7">
        <f t="shared" si="82"/>
        <v>0.31647398843930635</v>
      </c>
      <c r="AA313" s="8">
        <f t="shared" si="83"/>
        <v>44927</v>
      </c>
      <c r="AB313" s="8">
        <f t="shared" si="84"/>
        <v>45291</v>
      </c>
      <c r="AC313" s="1">
        <v>13</v>
      </c>
      <c r="AD313" s="1">
        <f t="shared" si="85"/>
        <v>0</v>
      </c>
      <c r="AE313" s="1">
        <f t="shared" si="86"/>
        <v>0</v>
      </c>
      <c r="AF313" s="1">
        <f t="shared" si="87"/>
        <v>2</v>
      </c>
      <c r="AG313" s="1">
        <f t="shared" si="88"/>
        <v>0</v>
      </c>
      <c r="AH313" s="1">
        <f t="shared" si="89"/>
        <v>0</v>
      </c>
      <c r="AI313" s="5">
        <f t="shared" si="90"/>
        <v>5.4794520547945206E-3</v>
      </c>
      <c r="AJ313" s="5">
        <f t="shared" si="91"/>
        <v>1.7341040462427746E-3</v>
      </c>
      <c r="AK313" s="5">
        <f t="shared" si="92"/>
        <v>2.2543352601156069E-2</v>
      </c>
      <c r="AL313" s="5">
        <f t="shared" si="93"/>
        <v>4.5086705202312137E-2</v>
      </c>
      <c r="AM313" s="5">
        <f t="shared" si="94"/>
        <v>0</v>
      </c>
      <c r="AN313" s="5">
        <f t="shared" si="95"/>
        <v>4.5086705202312137E-2</v>
      </c>
      <c r="AO313" s="1" t="s">
        <v>102</v>
      </c>
    </row>
    <row r="314" spans="1:41" x14ac:dyDescent="0.25">
      <c r="A314" s="1" t="s">
        <v>19</v>
      </c>
      <c r="B314" s="1" t="s">
        <v>35</v>
      </c>
      <c r="C314" s="1" t="s">
        <v>21</v>
      </c>
      <c r="D314" s="1" t="s">
        <v>36</v>
      </c>
      <c r="E314" s="1" t="s">
        <v>96</v>
      </c>
      <c r="F314" s="1" t="s">
        <v>103</v>
      </c>
      <c r="G314" s="1" t="s">
        <v>185</v>
      </c>
      <c r="H314" s="1" t="s">
        <v>493</v>
      </c>
      <c r="I314" s="1" t="s">
        <v>174</v>
      </c>
      <c r="J314" s="1" t="s">
        <v>101</v>
      </c>
      <c r="L314" s="1">
        <v>2796317</v>
      </c>
      <c r="M314" s="1" t="s">
        <v>494</v>
      </c>
      <c r="N314" s="8">
        <f>DATE(2021,8,2)</f>
        <v>44410</v>
      </c>
      <c r="O314" s="8">
        <f>DATE(2023,2,2)</f>
        <v>44959</v>
      </c>
      <c r="P314" s="1">
        <v>470</v>
      </c>
      <c r="Q314" s="1">
        <v>360</v>
      </c>
      <c r="R314" s="1">
        <f t="shared" si="78"/>
        <v>360</v>
      </c>
      <c r="S314" s="1">
        <v>2</v>
      </c>
      <c r="U314" s="1">
        <f t="shared" si="79"/>
        <v>550</v>
      </c>
      <c r="V314" s="7">
        <f t="shared" si="80"/>
        <v>0.65454545454545454</v>
      </c>
      <c r="W314" s="7">
        <f t="shared" si="81"/>
        <v>238.90909090909091</v>
      </c>
      <c r="X314" s="7">
        <f t="shared" si="82"/>
        <v>0.29863636363636364</v>
      </c>
      <c r="AA314" s="8">
        <f t="shared" si="83"/>
        <v>44927</v>
      </c>
      <c r="AB314" s="8">
        <f t="shared" si="84"/>
        <v>45291</v>
      </c>
      <c r="AC314" s="1">
        <v>14</v>
      </c>
      <c r="AD314" s="1">
        <f t="shared" si="85"/>
        <v>0</v>
      </c>
      <c r="AE314" s="1">
        <f t="shared" si="86"/>
        <v>0</v>
      </c>
      <c r="AF314" s="1">
        <f t="shared" si="87"/>
        <v>33</v>
      </c>
      <c r="AG314" s="1">
        <f t="shared" si="88"/>
        <v>0</v>
      </c>
      <c r="AH314" s="1">
        <f t="shared" si="89"/>
        <v>0</v>
      </c>
      <c r="AI314" s="5">
        <f t="shared" si="90"/>
        <v>9.0410958904109592E-2</v>
      </c>
      <c r="AJ314" s="5">
        <f t="shared" si="91"/>
        <v>2.7000000000000003E-2</v>
      </c>
      <c r="AK314" s="5">
        <f t="shared" si="92"/>
        <v>0.37800000000000006</v>
      </c>
      <c r="AL314" s="5">
        <f t="shared" si="93"/>
        <v>0.75600000000000012</v>
      </c>
      <c r="AM314" s="5">
        <f t="shared" si="94"/>
        <v>0</v>
      </c>
      <c r="AN314" s="5">
        <f t="shared" si="95"/>
        <v>0.75600000000000012</v>
      </c>
      <c r="AO314" s="1" t="s">
        <v>102</v>
      </c>
    </row>
    <row r="315" spans="1:41" x14ac:dyDescent="0.25">
      <c r="A315" s="1" t="s">
        <v>19</v>
      </c>
      <c r="B315" s="1" t="s">
        <v>35</v>
      </c>
      <c r="C315" s="1" t="s">
        <v>21</v>
      </c>
      <c r="D315" s="1" t="s">
        <v>36</v>
      </c>
      <c r="E315" s="1" t="s">
        <v>96</v>
      </c>
      <c r="F315" s="1" t="s">
        <v>103</v>
      </c>
      <c r="G315" s="1" t="s">
        <v>114</v>
      </c>
      <c r="H315" s="1" t="s">
        <v>119</v>
      </c>
      <c r="I315" s="1" t="s">
        <v>105</v>
      </c>
      <c r="J315" s="1" t="s">
        <v>106</v>
      </c>
      <c r="K315" s="1" t="s">
        <v>116</v>
      </c>
      <c r="L315" s="1">
        <v>2847364</v>
      </c>
      <c r="M315" s="1" t="s">
        <v>495</v>
      </c>
      <c r="N315" s="8">
        <f t="shared" ref="N315:N321" si="98">DATE(2022,2,14)</f>
        <v>44606</v>
      </c>
      <c r="O315" s="8">
        <f>DATE(2024,12,31)</f>
        <v>45657</v>
      </c>
      <c r="P315" s="1">
        <v>3614</v>
      </c>
      <c r="Q315" s="1">
        <v>1200</v>
      </c>
      <c r="R315" s="1">
        <f t="shared" si="78"/>
        <v>3200</v>
      </c>
      <c r="S315" s="1">
        <v>2.5</v>
      </c>
      <c r="U315" s="1">
        <f t="shared" si="79"/>
        <v>1052</v>
      </c>
      <c r="V315" s="7">
        <f t="shared" si="80"/>
        <v>3.041825095057034</v>
      </c>
      <c r="W315" s="7">
        <f t="shared" si="81"/>
        <v>1110.2661596958174</v>
      </c>
      <c r="X315" s="7">
        <f t="shared" si="82"/>
        <v>1.3878326996197716</v>
      </c>
      <c r="AA315" s="8">
        <f t="shared" si="83"/>
        <v>44927</v>
      </c>
      <c r="AB315" s="8">
        <f t="shared" si="84"/>
        <v>45291</v>
      </c>
      <c r="AC315" s="1">
        <v>55</v>
      </c>
      <c r="AD315" s="1">
        <f t="shared" si="85"/>
        <v>365</v>
      </c>
      <c r="AE315" s="1">
        <f t="shared" si="86"/>
        <v>0</v>
      </c>
      <c r="AF315" s="1">
        <f t="shared" si="87"/>
        <v>0</v>
      </c>
      <c r="AG315" s="1">
        <f t="shared" si="88"/>
        <v>0</v>
      </c>
      <c r="AH315" s="1">
        <f t="shared" si="89"/>
        <v>0</v>
      </c>
      <c r="AI315" s="5">
        <f t="shared" si="90"/>
        <v>1</v>
      </c>
      <c r="AJ315" s="5">
        <f t="shared" si="91"/>
        <v>1.3878326996197716</v>
      </c>
      <c r="AK315" s="5">
        <f t="shared" si="92"/>
        <v>76.330798479087434</v>
      </c>
      <c r="AL315" s="5">
        <f t="shared" si="93"/>
        <v>190.82699619771859</v>
      </c>
      <c r="AM315" s="5">
        <f t="shared" si="94"/>
        <v>95.413498098859293</v>
      </c>
      <c r="AN315" s="5">
        <f t="shared" si="95"/>
        <v>286.24049429657788</v>
      </c>
      <c r="AO315" s="1" t="s">
        <v>102</v>
      </c>
    </row>
    <row r="316" spans="1:41" x14ac:dyDescent="0.25">
      <c r="A316" s="1" t="s">
        <v>19</v>
      </c>
      <c r="B316" s="1" t="s">
        <v>35</v>
      </c>
      <c r="C316" s="1" t="s">
        <v>21</v>
      </c>
      <c r="D316" s="1" t="s">
        <v>36</v>
      </c>
      <c r="E316" s="1" t="s">
        <v>96</v>
      </c>
      <c r="F316" s="1" t="s">
        <v>103</v>
      </c>
      <c r="G316" s="1" t="s">
        <v>114</v>
      </c>
      <c r="H316" s="1" t="s">
        <v>453</v>
      </c>
      <c r="I316" s="1" t="s">
        <v>255</v>
      </c>
      <c r="J316" s="1" t="s">
        <v>106</v>
      </c>
      <c r="K316" s="1" t="s">
        <v>116</v>
      </c>
      <c r="L316" s="1">
        <v>2847451</v>
      </c>
      <c r="M316" s="1" t="s">
        <v>496</v>
      </c>
      <c r="N316" s="8">
        <f t="shared" si="98"/>
        <v>44606</v>
      </c>
      <c r="O316" s="8">
        <f>DATE(2024,12,31)</f>
        <v>45657</v>
      </c>
      <c r="P316" s="1">
        <v>3924</v>
      </c>
      <c r="Q316" s="1">
        <v>1000</v>
      </c>
      <c r="R316" s="1">
        <f t="shared" si="78"/>
        <v>3100</v>
      </c>
      <c r="S316" s="1">
        <v>2.5</v>
      </c>
      <c r="U316" s="1">
        <f t="shared" si="79"/>
        <v>1052</v>
      </c>
      <c r="V316" s="7">
        <f t="shared" si="80"/>
        <v>2.9467680608365021</v>
      </c>
      <c r="W316" s="7">
        <f t="shared" si="81"/>
        <v>1075.5703422053232</v>
      </c>
      <c r="X316" s="7">
        <f t="shared" si="82"/>
        <v>1.344462927756654</v>
      </c>
      <c r="AA316" s="8">
        <f t="shared" si="83"/>
        <v>44927</v>
      </c>
      <c r="AB316" s="8">
        <f t="shared" si="84"/>
        <v>45291</v>
      </c>
      <c r="AC316" s="1">
        <v>39</v>
      </c>
      <c r="AD316" s="1">
        <f t="shared" si="85"/>
        <v>365</v>
      </c>
      <c r="AE316" s="1">
        <f t="shared" si="86"/>
        <v>0</v>
      </c>
      <c r="AF316" s="1">
        <f t="shared" si="87"/>
        <v>0</v>
      </c>
      <c r="AG316" s="1">
        <f t="shared" si="88"/>
        <v>0</v>
      </c>
      <c r="AH316" s="1">
        <f t="shared" si="89"/>
        <v>0</v>
      </c>
      <c r="AI316" s="5">
        <f t="shared" si="90"/>
        <v>1</v>
      </c>
      <c r="AJ316" s="5">
        <f t="shared" si="91"/>
        <v>1.344462927756654</v>
      </c>
      <c r="AK316" s="5">
        <f t="shared" si="92"/>
        <v>52.434054182509506</v>
      </c>
      <c r="AL316" s="5">
        <f t="shared" si="93"/>
        <v>131.08513545627378</v>
      </c>
      <c r="AM316" s="5">
        <f t="shared" si="94"/>
        <v>65.542567728136888</v>
      </c>
      <c r="AN316" s="5">
        <f t="shared" si="95"/>
        <v>196.62770318441068</v>
      </c>
      <c r="AO316" s="1" t="s">
        <v>102</v>
      </c>
    </row>
    <row r="317" spans="1:41" x14ac:dyDescent="0.25">
      <c r="A317" s="1" t="s">
        <v>19</v>
      </c>
      <c r="B317" s="1" t="s">
        <v>35</v>
      </c>
      <c r="C317" s="1" t="s">
        <v>21</v>
      </c>
      <c r="D317" s="1" t="s">
        <v>36</v>
      </c>
      <c r="E317" s="1" t="s">
        <v>96</v>
      </c>
      <c r="F317" s="1" t="s">
        <v>103</v>
      </c>
      <c r="G317" s="1" t="s">
        <v>98</v>
      </c>
      <c r="H317" s="1" t="s">
        <v>355</v>
      </c>
      <c r="I317" s="1" t="s">
        <v>105</v>
      </c>
      <c r="J317" s="1" t="s">
        <v>106</v>
      </c>
      <c r="L317" s="1">
        <v>2847659</v>
      </c>
      <c r="M317" s="1" t="s">
        <v>497</v>
      </c>
      <c r="N317" s="8">
        <f t="shared" si="98"/>
        <v>44606</v>
      </c>
      <c r="O317" s="8">
        <f>DATE(2026,12,31)</f>
        <v>46387</v>
      </c>
      <c r="P317" s="1">
        <v>4069</v>
      </c>
      <c r="Q317" s="1">
        <v>3600</v>
      </c>
      <c r="R317" s="1">
        <f t="shared" si="78"/>
        <v>3600</v>
      </c>
      <c r="S317" s="1">
        <v>2.5</v>
      </c>
      <c r="U317" s="1">
        <f t="shared" si="79"/>
        <v>1782</v>
      </c>
      <c r="V317" s="7">
        <f t="shared" si="80"/>
        <v>2.0202020202020203</v>
      </c>
      <c r="W317" s="7">
        <f t="shared" si="81"/>
        <v>737.37373737373741</v>
      </c>
      <c r="X317" s="7">
        <f t="shared" si="82"/>
        <v>0.92171717171717171</v>
      </c>
      <c r="AA317" s="8">
        <f t="shared" si="83"/>
        <v>44927</v>
      </c>
      <c r="AB317" s="8">
        <f t="shared" si="84"/>
        <v>45291</v>
      </c>
      <c r="AC317" s="1">
        <v>37</v>
      </c>
      <c r="AD317" s="1">
        <f t="shared" si="85"/>
        <v>365</v>
      </c>
      <c r="AE317" s="1">
        <f t="shared" si="86"/>
        <v>0</v>
      </c>
      <c r="AF317" s="1">
        <f t="shared" si="87"/>
        <v>0</v>
      </c>
      <c r="AG317" s="1">
        <f t="shared" si="88"/>
        <v>0</v>
      </c>
      <c r="AH317" s="1">
        <f t="shared" si="89"/>
        <v>0</v>
      </c>
      <c r="AI317" s="5">
        <f t="shared" si="90"/>
        <v>1</v>
      </c>
      <c r="AJ317" s="5">
        <f t="shared" si="91"/>
        <v>0.92171717171717171</v>
      </c>
      <c r="AK317" s="5">
        <f t="shared" si="92"/>
        <v>34.103535353535356</v>
      </c>
      <c r="AL317" s="5">
        <f t="shared" si="93"/>
        <v>85.258838383838395</v>
      </c>
      <c r="AM317" s="5">
        <f t="shared" si="94"/>
        <v>42.629419191919197</v>
      </c>
      <c r="AN317" s="5">
        <f t="shared" si="95"/>
        <v>127.88825757575759</v>
      </c>
      <c r="AO317" s="1" t="s">
        <v>102</v>
      </c>
    </row>
    <row r="318" spans="1:41" x14ac:dyDescent="0.25">
      <c r="A318" s="1" t="s">
        <v>19</v>
      </c>
      <c r="B318" s="1" t="s">
        <v>35</v>
      </c>
      <c r="C318" s="1" t="s">
        <v>21</v>
      </c>
      <c r="D318" s="1" t="s">
        <v>36</v>
      </c>
      <c r="E318" s="1" t="s">
        <v>96</v>
      </c>
      <c r="F318" s="1" t="s">
        <v>103</v>
      </c>
      <c r="G318" s="1" t="s">
        <v>320</v>
      </c>
      <c r="H318" s="1" t="s">
        <v>456</v>
      </c>
      <c r="I318" s="1" t="s">
        <v>174</v>
      </c>
      <c r="J318" s="1" t="s">
        <v>101</v>
      </c>
      <c r="L318" s="1">
        <v>2847662</v>
      </c>
      <c r="M318" s="1" t="s">
        <v>498</v>
      </c>
      <c r="N318" s="8">
        <f t="shared" si="98"/>
        <v>44606</v>
      </c>
      <c r="O318" s="8">
        <f>DATE(2025,12,31)</f>
        <v>46022</v>
      </c>
      <c r="P318" s="1">
        <v>3212</v>
      </c>
      <c r="Q318" s="1">
        <v>3200</v>
      </c>
      <c r="R318" s="1">
        <f t="shared" si="78"/>
        <v>3200</v>
      </c>
      <c r="S318" s="1">
        <v>2.5</v>
      </c>
      <c r="U318" s="1">
        <f t="shared" si="79"/>
        <v>1417</v>
      </c>
      <c r="V318" s="7">
        <f t="shared" si="80"/>
        <v>2.2582921665490474</v>
      </c>
      <c r="W318" s="7">
        <f t="shared" si="81"/>
        <v>824.27664079040233</v>
      </c>
      <c r="X318" s="7">
        <f t="shared" si="82"/>
        <v>1.0303458009880029</v>
      </c>
      <c r="AA318" s="8">
        <f t="shared" si="83"/>
        <v>44927</v>
      </c>
      <c r="AB318" s="8">
        <f t="shared" si="84"/>
        <v>45291</v>
      </c>
      <c r="AC318" s="1">
        <v>18</v>
      </c>
      <c r="AD318" s="1">
        <f t="shared" si="85"/>
        <v>365</v>
      </c>
      <c r="AE318" s="1">
        <f t="shared" si="86"/>
        <v>0</v>
      </c>
      <c r="AF318" s="1">
        <f t="shared" si="87"/>
        <v>0</v>
      </c>
      <c r="AG318" s="1">
        <f t="shared" si="88"/>
        <v>0</v>
      </c>
      <c r="AH318" s="1">
        <f t="shared" si="89"/>
        <v>0</v>
      </c>
      <c r="AI318" s="5">
        <f t="shared" si="90"/>
        <v>1</v>
      </c>
      <c r="AJ318" s="5">
        <f t="shared" si="91"/>
        <v>1.0303458009880029</v>
      </c>
      <c r="AK318" s="5">
        <f t="shared" si="92"/>
        <v>18.546224417784053</v>
      </c>
      <c r="AL318" s="5">
        <f t="shared" si="93"/>
        <v>46.365561044460136</v>
      </c>
      <c r="AM318" s="5">
        <f t="shared" si="94"/>
        <v>0</v>
      </c>
      <c r="AN318" s="5">
        <f t="shared" si="95"/>
        <v>46.365561044460136</v>
      </c>
      <c r="AO318" s="1" t="s">
        <v>102</v>
      </c>
    </row>
    <row r="319" spans="1:41" x14ac:dyDescent="0.25">
      <c r="A319" s="1" t="s">
        <v>19</v>
      </c>
      <c r="B319" s="1" t="s">
        <v>35</v>
      </c>
      <c r="C319" s="1" t="s">
        <v>21</v>
      </c>
      <c r="D319" s="1" t="s">
        <v>36</v>
      </c>
      <c r="E319" s="1" t="s">
        <v>96</v>
      </c>
      <c r="F319" s="1" t="s">
        <v>103</v>
      </c>
      <c r="G319" s="1" t="s">
        <v>320</v>
      </c>
      <c r="H319" s="1" t="s">
        <v>321</v>
      </c>
      <c r="I319" s="1" t="s">
        <v>174</v>
      </c>
      <c r="J319" s="1" t="s">
        <v>101</v>
      </c>
      <c r="L319" s="1">
        <v>2848036</v>
      </c>
      <c r="M319" s="1" t="s">
        <v>499</v>
      </c>
      <c r="N319" s="8">
        <f t="shared" si="98"/>
        <v>44606</v>
      </c>
      <c r="O319" s="8">
        <f>DATE(2025,12,31)</f>
        <v>46022</v>
      </c>
      <c r="P319" s="1">
        <v>3212</v>
      </c>
      <c r="Q319" s="1">
        <v>3200</v>
      </c>
      <c r="R319" s="1">
        <f t="shared" si="78"/>
        <v>3200</v>
      </c>
      <c r="S319" s="1">
        <v>2.5</v>
      </c>
      <c r="U319" s="1">
        <f t="shared" si="79"/>
        <v>1417</v>
      </c>
      <c r="V319" s="7">
        <f t="shared" si="80"/>
        <v>2.2582921665490474</v>
      </c>
      <c r="W319" s="7">
        <f t="shared" si="81"/>
        <v>824.27664079040233</v>
      </c>
      <c r="X319" s="7">
        <f t="shared" si="82"/>
        <v>1.0303458009880029</v>
      </c>
      <c r="AA319" s="8">
        <f t="shared" si="83"/>
        <v>44927</v>
      </c>
      <c r="AB319" s="8">
        <f t="shared" si="84"/>
        <v>45291</v>
      </c>
      <c r="AC319" s="1">
        <v>11</v>
      </c>
      <c r="AD319" s="1">
        <f t="shared" si="85"/>
        <v>365</v>
      </c>
      <c r="AE319" s="1">
        <f t="shared" si="86"/>
        <v>0</v>
      </c>
      <c r="AF319" s="1">
        <f t="shared" si="87"/>
        <v>0</v>
      </c>
      <c r="AG319" s="1">
        <f t="shared" si="88"/>
        <v>0</v>
      </c>
      <c r="AH319" s="1">
        <f t="shared" si="89"/>
        <v>0</v>
      </c>
      <c r="AI319" s="5">
        <f t="shared" si="90"/>
        <v>1</v>
      </c>
      <c r="AJ319" s="5">
        <f t="shared" si="91"/>
        <v>1.0303458009880029</v>
      </c>
      <c r="AK319" s="5">
        <f t="shared" si="92"/>
        <v>11.333803810868032</v>
      </c>
      <c r="AL319" s="5">
        <f t="shared" si="93"/>
        <v>28.334509527170081</v>
      </c>
      <c r="AM319" s="5">
        <f t="shared" si="94"/>
        <v>0</v>
      </c>
      <c r="AN319" s="5">
        <f t="shared" si="95"/>
        <v>28.334509527170081</v>
      </c>
      <c r="AO319" s="1" t="s">
        <v>102</v>
      </c>
    </row>
    <row r="320" spans="1:41" x14ac:dyDescent="0.25">
      <c r="A320" s="1" t="s">
        <v>19</v>
      </c>
      <c r="B320" s="1" t="s">
        <v>35</v>
      </c>
      <c r="C320" s="1" t="s">
        <v>21</v>
      </c>
      <c r="D320" s="1" t="s">
        <v>36</v>
      </c>
      <c r="E320" s="1" t="s">
        <v>96</v>
      </c>
      <c r="F320" s="1" t="s">
        <v>103</v>
      </c>
      <c r="G320" s="1" t="s">
        <v>320</v>
      </c>
      <c r="H320" s="1" t="s">
        <v>451</v>
      </c>
      <c r="I320" s="1" t="s">
        <v>174</v>
      </c>
      <c r="J320" s="1" t="s">
        <v>101</v>
      </c>
      <c r="L320" s="1">
        <v>2848038</v>
      </c>
      <c r="M320" s="1" t="s">
        <v>500</v>
      </c>
      <c r="N320" s="8">
        <f t="shared" si="98"/>
        <v>44606</v>
      </c>
      <c r="O320" s="8">
        <f>DATE(2025,12,31)</f>
        <v>46022</v>
      </c>
      <c r="P320" s="1">
        <v>3212</v>
      </c>
      <c r="Q320" s="1">
        <v>3200</v>
      </c>
      <c r="R320" s="1">
        <f t="shared" si="78"/>
        <v>3200</v>
      </c>
      <c r="S320" s="1">
        <v>2.5</v>
      </c>
      <c r="U320" s="1">
        <f t="shared" si="79"/>
        <v>1417</v>
      </c>
      <c r="V320" s="7">
        <f t="shared" si="80"/>
        <v>2.2582921665490474</v>
      </c>
      <c r="W320" s="7">
        <f t="shared" si="81"/>
        <v>824.27664079040233</v>
      </c>
      <c r="X320" s="7">
        <f t="shared" si="82"/>
        <v>1.0303458009880029</v>
      </c>
      <c r="AA320" s="8">
        <f t="shared" si="83"/>
        <v>44927</v>
      </c>
      <c r="AB320" s="8">
        <f t="shared" si="84"/>
        <v>45291</v>
      </c>
      <c r="AC320" s="1">
        <v>6</v>
      </c>
      <c r="AD320" s="1">
        <f t="shared" si="85"/>
        <v>365</v>
      </c>
      <c r="AE320" s="1">
        <f t="shared" si="86"/>
        <v>0</v>
      </c>
      <c r="AF320" s="1">
        <f t="shared" si="87"/>
        <v>0</v>
      </c>
      <c r="AG320" s="1">
        <f t="shared" si="88"/>
        <v>0</v>
      </c>
      <c r="AH320" s="1">
        <f t="shared" si="89"/>
        <v>0</v>
      </c>
      <c r="AI320" s="5">
        <f t="shared" si="90"/>
        <v>1</v>
      </c>
      <c r="AJ320" s="5">
        <f t="shared" si="91"/>
        <v>1.0303458009880029</v>
      </c>
      <c r="AK320" s="5">
        <f t="shared" si="92"/>
        <v>6.1820748059280177</v>
      </c>
      <c r="AL320" s="5">
        <f t="shared" si="93"/>
        <v>15.455187014820044</v>
      </c>
      <c r="AM320" s="5">
        <f t="shared" si="94"/>
        <v>0</v>
      </c>
      <c r="AN320" s="5">
        <f t="shared" si="95"/>
        <v>15.455187014820044</v>
      </c>
      <c r="AO320" s="1" t="s">
        <v>102</v>
      </c>
    </row>
    <row r="321" spans="1:41" x14ac:dyDescent="0.25">
      <c r="A321" s="1" t="s">
        <v>19</v>
      </c>
      <c r="B321" s="1" t="s">
        <v>35</v>
      </c>
      <c r="C321" s="1" t="s">
        <v>21</v>
      </c>
      <c r="D321" s="1" t="s">
        <v>36</v>
      </c>
      <c r="E321" s="1" t="s">
        <v>96</v>
      </c>
      <c r="F321" s="1" t="s">
        <v>103</v>
      </c>
      <c r="G321" s="1" t="s">
        <v>114</v>
      </c>
      <c r="H321" s="1" t="s">
        <v>293</v>
      </c>
      <c r="I321" s="1" t="s">
        <v>105</v>
      </c>
      <c r="J321" s="1" t="s">
        <v>106</v>
      </c>
      <c r="K321" s="1" t="s">
        <v>175</v>
      </c>
      <c r="L321" s="1">
        <v>2848043</v>
      </c>
      <c r="M321" s="1" t="s">
        <v>501</v>
      </c>
      <c r="N321" s="8">
        <f t="shared" si="98"/>
        <v>44606</v>
      </c>
      <c r="O321" s="8">
        <f>DATE(2023,9,30)</f>
        <v>45199</v>
      </c>
      <c r="P321" s="1">
        <v>1200</v>
      </c>
      <c r="Q321" s="1">
        <v>1200</v>
      </c>
      <c r="R321" s="1">
        <f t="shared" si="78"/>
        <v>1200</v>
      </c>
      <c r="S321" s="1">
        <v>2</v>
      </c>
      <c r="U321" s="1">
        <f t="shared" si="79"/>
        <v>594</v>
      </c>
      <c r="V321" s="7">
        <f t="shared" si="80"/>
        <v>2.0202020202020203</v>
      </c>
      <c r="W321" s="7">
        <f t="shared" si="81"/>
        <v>737.37373737373741</v>
      </c>
      <c r="X321" s="7">
        <f t="shared" si="82"/>
        <v>0.92171717171717171</v>
      </c>
      <c r="AA321" s="8">
        <f t="shared" si="83"/>
        <v>44927</v>
      </c>
      <c r="AB321" s="8">
        <f t="shared" si="84"/>
        <v>45291</v>
      </c>
      <c r="AC321" s="1">
        <v>34</v>
      </c>
      <c r="AD321" s="1">
        <f t="shared" si="85"/>
        <v>0</v>
      </c>
      <c r="AE321" s="1">
        <f t="shared" si="86"/>
        <v>0</v>
      </c>
      <c r="AF321" s="1">
        <f t="shared" si="87"/>
        <v>273</v>
      </c>
      <c r="AG321" s="1">
        <f t="shared" si="88"/>
        <v>0</v>
      </c>
      <c r="AH321" s="1">
        <f t="shared" si="89"/>
        <v>0</v>
      </c>
      <c r="AI321" s="5">
        <f t="shared" si="90"/>
        <v>0.74794520547945209</v>
      </c>
      <c r="AJ321" s="5">
        <f t="shared" si="91"/>
        <v>0.68939393939393945</v>
      </c>
      <c r="AK321" s="5">
        <f t="shared" si="92"/>
        <v>23.439393939393941</v>
      </c>
      <c r="AL321" s="5">
        <f t="shared" si="93"/>
        <v>46.878787878787882</v>
      </c>
      <c r="AM321" s="5">
        <f t="shared" si="94"/>
        <v>23.439393939393941</v>
      </c>
      <c r="AN321" s="5">
        <f t="shared" si="95"/>
        <v>70.318181818181827</v>
      </c>
      <c r="AO321" s="1" t="s">
        <v>102</v>
      </c>
    </row>
    <row r="322" spans="1:41" x14ac:dyDescent="0.25">
      <c r="A322" s="1" t="s">
        <v>19</v>
      </c>
      <c r="B322" s="1" t="s">
        <v>35</v>
      </c>
      <c r="C322" s="1" t="s">
        <v>21</v>
      </c>
      <c r="D322" s="1" t="s">
        <v>36</v>
      </c>
      <c r="E322" s="1" t="s">
        <v>96</v>
      </c>
      <c r="F322" s="1" t="s">
        <v>103</v>
      </c>
      <c r="G322" s="1" t="s">
        <v>185</v>
      </c>
      <c r="H322" s="1" t="s">
        <v>268</v>
      </c>
      <c r="I322" s="1" t="s">
        <v>105</v>
      </c>
      <c r="J322" s="1" t="s">
        <v>101</v>
      </c>
      <c r="L322" s="1">
        <v>2911300</v>
      </c>
      <c r="M322" s="1" t="s">
        <v>502</v>
      </c>
      <c r="N322" s="8">
        <f>DATE(2022,8,2)</f>
        <v>44775</v>
      </c>
      <c r="O322" s="8">
        <f>DATE(2024,2,2)</f>
        <v>45324</v>
      </c>
      <c r="P322" s="1">
        <v>420</v>
      </c>
      <c r="Q322" s="1">
        <v>360</v>
      </c>
      <c r="R322" s="1">
        <f t="shared" ref="R322:R379" si="99">IF(OR(G322="QUALIFICACAO PROFISSIONAL (FIC)",G322="DOUTORADO"),P322,
    IF(ISNUMBER(FIND("PROEJA",K322)),2400,
        IF(K322="INTEGRADO",
            IF(Q322=800,3000,
                IF(Q322=1000,3100,
                    IF(Q322=1200,3200,Q322)
                )
            ),
            Q322
        )
    )
)</f>
        <v>360</v>
      </c>
      <c r="S322" s="1">
        <v>2.5</v>
      </c>
      <c r="U322" s="1">
        <f t="shared" ref="U322:U379" si="100">O322-N322+1</f>
        <v>550</v>
      </c>
      <c r="V322" s="7">
        <f t="shared" ref="V322:V379" si="101">IF(R322&gt;P322,P322,R322)/U322</f>
        <v>0.65454545454545454</v>
      </c>
      <c r="W322" s="7">
        <f t="shared" ref="W322:W379" si="102">IF(U322&gt;365,V322*365,R322)</f>
        <v>238.90909090909091</v>
      </c>
      <c r="X322" s="7">
        <f t="shared" ref="X322:X379" si="103">IF(U322&gt;365,W322/800,R322/800)</f>
        <v>0.29863636363636364</v>
      </c>
      <c r="AA322" s="8">
        <f t="shared" ref="AA322:AA379" si="104">DATE(2023,1,1)</f>
        <v>44927</v>
      </c>
      <c r="AB322" s="8">
        <f t="shared" ref="AB322:AB379" si="105">DATE(2023,12,31)</f>
        <v>45291</v>
      </c>
      <c r="AC322" s="1">
        <v>20</v>
      </c>
      <c r="AD322" s="1">
        <f t="shared" ref="AD322:AD379" si="106">IF(AND(N322&lt;AA322,O322&gt;AB322),AB322-AA322+1,0)</f>
        <v>365</v>
      </c>
      <c r="AE322" s="1">
        <f t="shared" ref="AE322:AE379" si="107">IF(AND(N322&gt;=AA322,O322&gt;AB322,N322&lt;AB322),AB322-N322+1,0)</f>
        <v>0</v>
      </c>
      <c r="AF322" s="1">
        <f t="shared" ref="AF322:AF379" si="108">IF(AND(N322&lt;AA322,O322&lt;=AB322,O322&gt;=AA322),O322-AA322+1,0)</f>
        <v>0</v>
      </c>
      <c r="AG322" s="1">
        <f t="shared" ref="AG322:AG379" si="109">IF(AND(N322&gt;=AA322,O322&lt;=AB322),O322-N322+1,0)</f>
        <v>0</v>
      </c>
      <c r="AH322" s="1">
        <f t="shared" ref="AH322:AH379" si="110">IF(AND(N322&lt;AA322,O322&lt;AA322),(AB322-AA322+1)/2,0)</f>
        <v>0</v>
      </c>
      <c r="AI322" s="5">
        <f t="shared" ref="AI322:AI379" si="111">SUM(AD322:AH322)/IF(U322&gt;=365,AB322-AA322+1,U322)</f>
        <v>1</v>
      </c>
      <c r="AJ322" s="5">
        <f t="shared" ref="AJ322:AJ379" si="112">X322*AI322</f>
        <v>0.29863636363636364</v>
      </c>
      <c r="AK322" s="5">
        <f t="shared" ref="AK322:AK379" si="113">IF(AH322=0,AJ322*AC322,IF(AA322-O322&gt;1095,0,AJ322*(AC322/2)))</f>
        <v>5.9727272727272727</v>
      </c>
      <c r="AL322" s="5">
        <f t="shared" ref="AL322:AL379" si="114">AK322*S322</f>
        <v>14.931818181818182</v>
      </c>
      <c r="AM322" s="5">
        <f t="shared" ref="AM322:AM379" si="115">IF(J322="SIM",AL322*50%,0)</f>
        <v>0</v>
      </c>
      <c r="AN322" s="5">
        <f t="shared" ref="AN322:AN379" si="116">AL322+AM322</f>
        <v>14.931818181818182</v>
      </c>
      <c r="AO322" s="1" t="s">
        <v>102</v>
      </c>
    </row>
    <row r="323" spans="1:41" x14ac:dyDescent="0.25">
      <c r="A323" s="1" t="s">
        <v>19</v>
      </c>
      <c r="B323" s="1" t="s">
        <v>35</v>
      </c>
      <c r="C323" s="1" t="s">
        <v>21</v>
      </c>
      <c r="D323" s="1" t="s">
        <v>36</v>
      </c>
      <c r="E323" s="1" t="s">
        <v>96</v>
      </c>
      <c r="F323" s="1" t="s">
        <v>103</v>
      </c>
      <c r="G323" s="1" t="s">
        <v>114</v>
      </c>
      <c r="H323" s="1" t="s">
        <v>119</v>
      </c>
      <c r="I323" s="1" t="s">
        <v>105</v>
      </c>
      <c r="J323" s="1" t="s">
        <v>106</v>
      </c>
      <c r="K323" s="1" t="s">
        <v>116</v>
      </c>
      <c r="L323" s="1">
        <v>2950319</v>
      </c>
      <c r="M323" s="1" t="s">
        <v>503</v>
      </c>
      <c r="N323" s="8">
        <f t="shared" ref="N323:N332" si="117">DATE(2023,2,6)</f>
        <v>44963</v>
      </c>
      <c r="O323" s="8">
        <f>DATE(2025,12,31)</f>
        <v>46022</v>
      </c>
      <c r="P323" s="1">
        <v>3614</v>
      </c>
      <c r="Q323" s="1">
        <v>1200</v>
      </c>
      <c r="R323" s="1">
        <f t="shared" si="99"/>
        <v>3200</v>
      </c>
      <c r="S323" s="1">
        <v>2.5</v>
      </c>
      <c r="U323" s="1">
        <f t="shared" si="100"/>
        <v>1060</v>
      </c>
      <c r="V323" s="7">
        <f t="shared" si="101"/>
        <v>3.0188679245283021</v>
      </c>
      <c r="W323" s="7">
        <f t="shared" si="102"/>
        <v>1101.8867924528304</v>
      </c>
      <c r="X323" s="7">
        <f t="shared" si="103"/>
        <v>1.3773584905660379</v>
      </c>
      <c r="AA323" s="8">
        <f t="shared" si="104"/>
        <v>44927</v>
      </c>
      <c r="AB323" s="8">
        <f t="shared" si="105"/>
        <v>45291</v>
      </c>
      <c r="AC323" s="1">
        <v>72</v>
      </c>
      <c r="AD323" s="1">
        <f t="shared" si="106"/>
        <v>0</v>
      </c>
      <c r="AE323" s="1">
        <f t="shared" si="107"/>
        <v>329</v>
      </c>
      <c r="AF323" s="1">
        <f t="shared" si="108"/>
        <v>0</v>
      </c>
      <c r="AG323" s="1">
        <f t="shared" si="109"/>
        <v>0</v>
      </c>
      <c r="AH323" s="1">
        <f t="shared" si="110"/>
        <v>0</v>
      </c>
      <c r="AI323" s="5">
        <f t="shared" si="111"/>
        <v>0.90136986301369859</v>
      </c>
      <c r="AJ323" s="5">
        <f t="shared" si="112"/>
        <v>1.2415094339622643</v>
      </c>
      <c r="AK323" s="5">
        <f t="shared" si="113"/>
        <v>89.388679245283029</v>
      </c>
      <c r="AL323" s="5">
        <f t="shared" si="114"/>
        <v>223.47169811320757</v>
      </c>
      <c r="AM323" s="5">
        <f t="shared" si="115"/>
        <v>111.73584905660378</v>
      </c>
      <c r="AN323" s="5">
        <f t="shared" si="116"/>
        <v>335.20754716981133</v>
      </c>
      <c r="AO323" s="1" t="s">
        <v>102</v>
      </c>
    </row>
    <row r="324" spans="1:41" x14ac:dyDescent="0.25">
      <c r="A324" s="1" t="s">
        <v>19</v>
      </c>
      <c r="B324" s="1" t="s">
        <v>35</v>
      </c>
      <c r="C324" s="1" t="s">
        <v>21</v>
      </c>
      <c r="D324" s="1" t="s">
        <v>36</v>
      </c>
      <c r="E324" s="1" t="s">
        <v>96</v>
      </c>
      <c r="F324" s="1" t="s">
        <v>103</v>
      </c>
      <c r="G324" s="1" t="s">
        <v>114</v>
      </c>
      <c r="H324" s="1" t="s">
        <v>453</v>
      </c>
      <c r="I324" s="1" t="s">
        <v>255</v>
      </c>
      <c r="J324" s="1" t="s">
        <v>106</v>
      </c>
      <c r="K324" s="1" t="s">
        <v>116</v>
      </c>
      <c r="L324" s="1">
        <v>2950331</v>
      </c>
      <c r="M324" s="1" t="s">
        <v>504</v>
      </c>
      <c r="N324" s="8">
        <f t="shared" si="117"/>
        <v>44963</v>
      </c>
      <c r="O324" s="8">
        <f>DATE(2025,12,31)</f>
        <v>46022</v>
      </c>
      <c r="P324" s="1">
        <v>3498</v>
      </c>
      <c r="Q324" s="1">
        <v>1000</v>
      </c>
      <c r="R324" s="1">
        <f t="shared" si="99"/>
        <v>3100</v>
      </c>
      <c r="S324" s="1">
        <v>2.5</v>
      </c>
      <c r="U324" s="1">
        <f t="shared" si="100"/>
        <v>1060</v>
      </c>
      <c r="V324" s="7">
        <f t="shared" si="101"/>
        <v>2.9245283018867925</v>
      </c>
      <c r="W324" s="7">
        <f t="shared" si="102"/>
        <v>1067.4528301886792</v>
      </c>
      <c r="X324" s="7">
        <f t="shared" si="103"/>
        <v>1.3343160377358489</v>
      </c>
      <c r="AA324" s="8">
        <f t="shared" si="104"/>
        <v>44927</v>
      </c>
      <c r="AB324" s="8">
        <f t="shared" si="105"/>
        <v>45291</v>
      </c>
      <c r="AC324" s="1">
        <v>63</v>
      </c>
      <c r="AD324" s="1">
        <f t="shared" si="106"/>
        <v>0</v>
      </c>
      <c r="AE324" s="1">
        <f t="shared" si="107"/>
        <v>329</v>
      </c>
      <c r="AF324" s="1">
        <f t="shared" si="108"/>
        <v>0</v>
      </c>
      <c r="AG324" s="1">
        <f t="shared" si="109"/>
        <v>0</v>
      </c>
      <c r="AH324" s="1">
        <f t="shared" si="110"/>
        <v>0</v>
      </c>
      <c r="AI324" s="5">
        <f t="shared" si="111"/>
        <v>0.90136986301369859</v>
      </c>
      <c r="AJ324" s="5">
        <f t="shared" si="112"/>
        <v>1.2027122641509433</v>
      </c>
      <c r="AK324" s="5">
        <f t="shared" si="113"/>
        <v>75.770872641509428</v>
      </c>
      <c r="AL324" s="5">
        <f t="shared" si="114"/>
        <v>189.42718160377356</v>
      </c>
      <c r="AM324" s="5">
        <f t="shared" si="115"/>
        <v>94.713590801886781</v>
      </c>
      <c r="AN324" s="5">
        <f t="shared" si="116"/>
        <v>284.14077240566036</v>
      </c>
      <c r="AO324" s="1" t="s">
        <v>102</v>
      </c>
    </row>
    <row r="325" spans="1:41" x14ac:dyDescent="0.25">
      <c r="A325" s="1" t="s">
        <v>19</v>
      </c>
      <c r="B325" s="1" t="s">
        <v>35</v>
      </c>
      <c r="C325" s="1" t="s">
        <v>21</v>
      </c>
      <c r="D325" s="1" t="s">
        <v>36</v>
      </c>
      <c r="E325" s="1" t="s">
        <v>96</v>
      </c>
      <c r="F325" s="1" t="s">
        <v>103</v>
      </c>
      <c r="G325" s="1" t="s">
        <v>114</v>
      </c>
      <c r="H325" s="1" t="s">
        <v>293</v>
      </c>
      <c r="I325" s="1" t="s">
        <v>105</v>
      </c>
      <c r="J325" s="1" t="s">
        <v>106</v>
      </c>
      <c r="K325" s="1" t="s">
        <v>175</v>
      </c>
      <c r="L325" s="1">
        <v>2950336</v>
      </c>
      <c r="M325" s="1" t="s">
        <v>505</v>
      </c>
      <c r="N325" s="8">
        <f t="shared" si="117"/>
        <v>44963</v>
      </c>
      <c r="O325" s="8">
        <f>DATE(2024,7,31)</f>
        <v>45504</v>
      </c>
      <c r="P325" s="1">
        <v>1200</v>
      </c>
      <c r="Q325" s="1">
        <v>1200</v>
      </c>
      <c r="R325" s="1">
        <f t="shared" si="99"/>
        <v>1200</v>
      </c>
      <c r="S325" s="1">
        <v>2</v>
      </c>
      <c r="U325" s="1">
        <f t="shared" si="100"/>
        <v>542</v>
      </c>
      <c r="V325" s="7">
        <f t="shared" si="101"/>
        <v>2.2140221402214024</v>
      </c>
      <c r="W325" s="7">
        <f t="shared" si="102"/>
        <v>808.11808118081194</v>
      </c>
      <c r="X325" s="7">
        <f t="shared" si="103"/>
        <v>1.0101476014760149</v>
      </c>
      <c r="AA325" s="8">
        <f t="shared" si="104"/>
        <v>44927</v>
      </c>
      <c r="AB325" s="8">
        <f t="shared" si="105"/>
        <v>45291</v>
      </c>
      <c r="AC325" s="1">
        <v>23</v>
      </c>
      <c r="AD325" s="1">
        <f t="shared" si="106"/>
        <v>0</v>
      </c>
      <c r="AE325" s="1">
        <f t="shared" si="107"/>
        <v>329</v>
      </c>
      <c r="AF325" s="1">
        <f t="shared" si="108"/>
        <v>0</v>
      </c>
      <c r="AG325" s="1">
        <f t="shared" si="109"/>
        <v>0</v>
      </c>
      <c r="AH325" s="1">
        <f t="shared" si="110"/>
        <v>0</v>
      </c>
      <c r="AI325" s="5">
        <f t="shared" si="111"/>
        <v>0.90136986301369859</v>
      </c>
      <c r="AJ325" s="5">
        <f t="shared" si="112"/>
        <v>0.91051660516605171</v>
      </c>
      <c r="AK325" s="5">
        <f t="shared" si="113"/>
        <v>20.941881918819188</v>
      </c>
      <c r="AL325" s="5">
        <f t="shared" si="114"/>
        <v>41.883763837638377</v>
      </c>
      <c r="AM325" s="5">
        <f t="shared" si="115"/>
        <v>20.941881918819188</v>
      </c>
      <c r="AN325" s="5">
        <f t="shared" si="116"/>
        <v>62.825645756457561</v>
      </c>
      <c r="AO325" s="1" t="s">
        <v>102</v>
      </c>
    </row>
    <row r="326" spans="1:41" x14ac:dyDescent="0.25">
      <c r="A326" s="1" t="s">
        <v>19</v>
      </c>
      <c r="B326" s="1" t="s">
        <v>35</v>
      </c>
      <c r="C326" s="1" t="s">
        <v>21</v>
      </c>
      <c r="D326" s="1" t="s">
        <v>36</v>
      </c>
      <c r="E326" s="1" t="s">
        <v>96</v>
      </c>
      <c r="F326" s="1" t="s">
        <v>103</v>
      </c>
      <c r="G326" s="1" t="s">
        <v>320</v>
      </c>
      <c r="H326" s="1" t="s">
        <v>456</v>
      </c>
      <c r="I326" s="1" t="s">
        <v>174</v>
      </c>
      <c r="J326" s="1" t="s">
        <v>101</v>
      </c>
      <c r="L326" s="1">
        <v>2950355</v>
      </c>
      <c r="M326" s="1" t="s">
        <v>506</v>
      </c>
      <c r="N326" s="8">
        <f t="shared" si="117"/>
        <v>44963</v>
      </c>
      <c r="O326" s="8">
        <f>DATE(2026,12,31)</f>
        <v>46387</v>
      </c>
      <c r="P326" s="1">
        <v>3212</v>
      </c>
      <c r="Q326" s="1">
        <v>3200</v>
      </c>
      <c r="R326" s="1">
        <f t="shared" si="99"/>
        <v>3200</v>
      </c>
      <c r="S326" s="1">
        <v>2.5</v>
      </c>
      <c r="U326" s="1">
        <f t="shared" si="100"/>
        <v>1425</v>
      </c>
      <c r="V326" s="7">
        <f t="shared" si="101"/>
        <v>2.2456140350877192</v>
      </c>
      <c r="W326" s="7">
        <f t="shared" si="102"/>
        <v>819.64912280701753</v>
      </c>
      <c r="X326" s="7">
        <f t="shared" si="103"/>
        <v>1.024561403508772</v>
      </c>
      <c r="AA326" s="8">
        <f t="shared" si="104"/>
        <v>44927</v>
      </c>
      <c r="AB326" s="8">
        <f t="shared" si="105"/>
        <v>45291</v>
      </c>
      <c r="AC326" s="1">
        <v>21</v>
      </c>
      <c r="AD326" s="1">
        <f t="shared" si="106"/>
        <v>0</v>
      </c>
      <c r="AE326" s="1">
        <f t="shared" si="107"/>
        <v>329</v>
      </c>
      <c r="AF326" s="1">
        <f t="shared" si="108"/>
        <v>0</v>
      </c>
      <c r="AG326" s="1">
        <f t="shared" si="109"/>
        <v>0</v>
      </c>
      <c r="AH326" s="1">
        <f t="shared" si="110"/>
        <v>0</v>
      </c>
      <c r="AI326" s="5">
        <f t="shared" si="111"/>
        <v>0.90136986301369859</v>
      </c>
      <c r="AJ326" s="5">
        <f t="shared" si="112"/>
        <v>0.92350877192982461</v>
      </c>
      <c r="AK326" s="5">
        <f t="shared" si="113"/>
        <v>19.393684210526317</v>
      </c>
      <c r="AL326" s="5">
        <f t="shared" si="114"/>
        <v>48.484210526315792</v>
      </c>
      <c r="AM326" s="5">
        <f t="shared" si="115"/>
        <v>0</v>
      </c>
      <c r="AN326" s="5">
        <f t="shared" si="116"/>
        <v>48.484210526315792</v>
      </c>
      <c r="AO326" s="1" t="s">
        <v>102</v>
      </c>
    </row>
    <row r="327" spans="1:41" x14ac:dyDescent="0.25">
      <c r="A327" s="1" t="s">
        <v>19</v>
      </c>
      <c r="B327" s="1" t="s">
        <v>35</v>
      </c>
      <c r="C327" s="1" t="s">
        <v>21</v>
      </c>
      <c r="D327" s="1" t="s">
        <v>36</v>
      </c>
      <c r="E327" s="1" t="s">
        <v>96</v>
      </c>
      <c r="F327" s="1" t="s">
        <v>103</v>
      </c>
      <c r="G327" s="1" t="s">
        <v>320</v>
      </c>
      <c r="H327" s="1" t="s">
        <v>321</v>
      </c>
      <c r="I327" s="1" t="s">
        <v>174</v>
      </c>
      <c r="J327" s="1" t="s">
        <v>101</v>
      </c>
      <c r="L327" s="1">
        <v>2950359</v>
      </c>
      <c r="M327" s="1" t="s">
        <v>507</v>
      </c>
      <c r="N327" s="8">
        <f t="shared" si="117"/>
        <v>44963</v>
      </c>
      <c r="O327" s="8">
        <f>DATE(2026,12,31)</f>
        <v>46387</v>
      </c>
      <c r="P327" s="1">
        <v>3212</v>
      </c>
      <c r="Q327" s="1">
        <v>3200</v>
      </c>
      <c r="R327" s="1">
        <f t="shared" si="99"/>
        <v>3200</v>
      </c>
      <c r="S327" s="1">
        <v>2.5</v>
      </c>
      <c r="U327" s="1">
        <f t="shared" si="100"/>
        <v>1425</v>
      </c>
      <c r="V327" s="7">
        <f t="shared" si="101"/>
        <v>2.2456140350877192</v>
      </c>
      <c r="W327" s="7">
        <f t="shared" si="102"/>
        <v>819.64912280701753</v>
      </c>
      <c r="X327" s="7">
        <f t="shared" si="103"/>
        <v>1.024561403508772</v>
      </c>
      <c r="AA327" s="8">
        <f t="shared" si="104"/>
        <v>44927</v>
      </c>
      <c r="AB327" s="8">
        <f t="shared" si="105"/>
        <v>45291</v>
      </c>
      <c r="AC327" s="1">
        <v>13</v>
      </c>
      <c r="AD327" s="1">
        <f t="shared" si="106"/>
        <v>0</v>
      </c>
      <c r="AE327" s="1">
        <f t="shared" si="107"/>
        <v>329</v>
      </c>
      <c r="AF327" s="1">
        <f t="shared" si="108"/>
        <v>0</v>
      </c>
      <c r="AG327" s="1">
        <f t="shared" si="109"/>
        <v>0</v>
      </c>
      <c r="AH327" s="1">
        <f t="shared" si="110"/>
        <v>0</v>
      </c>
      <c r="AI327" s="5">
        <f t="shared" si="111"/>
        <v>0.90136986301369859</v>
      </c>
      <c r="AJ327" s="5">
        <f t="shared" si="112"/>
        <v>0.92350877192982461</v>
      </c>
      <c r="AK327" s="5">
        <f t="shared" si="113"/>
        <v>12.005614035087721</v>
      </c>
      <c r="AL327" s="5">
        <f t="shared" si="114"/>
        <v>30.0140350877193</v>
      </c>
      <c r="AM327" s="5">
        <f t="shared" si="115"/>
        <v>0</v>
      </c>
      <c r="AN327" s="5">
        <f t="shared" si="116"/>
        <v>30.0140350877193</v>
      </c>
      <c r="AO327" s="1" t="s">
        <v>102</v>
      </c>
    </row>
    <row r="328" spans="1:41" x14ac:dyDescent="0.25">
      <c r="A328" s="1" t="s">
        <v>19</v>
      </c>
      <c r="B328" s="1" t="s">
        <v>35</v>
      </c>
      <c r="C328" s="1" t="s">
        <v>21</v>
      </c>
      <c r="D328" s="1" t="s">
        <v>36</v>
      </c>
      <c r="E328" s="1" t="s">
        <v>96</v>
      </c>
      <c r="F328" s="1" t="s">
        <v>103</v>
      </c>
      <c r="G328" s="1" t="s">
        <v>320</v>
      </c>
      <c r="H328" s="1" t="s">
        <v>451</v>
      </c>
      <c r="I328" s="1" t="s">
        <v>174</v>
      </c>
      <c r="J328" s="1" t="s">
        <v>101</v>
      </c>
      <c r="L328" s="1">
        <v>2950363</v>
      </c>
      <c r="M328" s="1" t="s">
        <v>508</v>
      </c>
      <c r="N328" s="8">
        <f t="shared" si="117"/>
        <v>44963</v>
      </c>
      <c r="O328" s="8">
        <f>DATE(2026,12,31)</f>
        <v>46387</v>
      </c>
      <c r="P328" s="1">
        <v>3212</v>
      </c>
      <c r="Q328" s="1">
        <v>3200</v>
      </c>
      <c r="R328" s="1">
        <f t="shared" si="99"/>
        <v>3200</v>
      </c>
      <c r="S328" s="1">
        <v>2.5</v>
      </c>
      <c r="U328" s="1">
        <f t="shared" si="100"/>
        <v>1425</v>
      </c>
      <c r="V328" s="7">
        <f t="shared" si="101"/>
        <v>2.2456140350877192</v>
      </c>
      <c r="W328" s="7">
        <f t="shared" si="102"/>
        <v>819.64912280701753</v>
      </c>
      <c r="X328" s="7">
        <f t="shared" si="103"/>
        <v>1.024561403508772</v>
      </c>
      <c r="AA328" s="8">
        <f t="shared" si="104"/>
        <v>44927</v>
      </c>
      <c r="AB328" s="8">
        <f t="shared" si="105"/>
        <v>45291</v>
      </c>
      <c r="AC328" s="1">
        <v>13</v>
      </c>
      <c r="AD328" s="1">
        <f t="shared" si="106"/>
        <v>0</v>
      </c>
      <c r="AE328" s="1">
        <f t="shared" si="107"/>
        <v>329</v>
      </c>
      <c r="AF328" s="1">
        <f t="shared" si="108"/>
        <v>0</v>
      </c>
      <c r="AG328" s="1">
        <f t="shared" si="109"/>
        <v>0</v>
      </c>
      <c r="AH328" s="1">
        <f t="shared" si="110"/>
        <v>0</v>
      </c>
      <c r="AI328" s="5">
        <f t="shared" si="111"/>
        <v>0.90136986301369859</v>
      </c>
      <c r="AJ328" s="5">
        <f t="shared" si="112"/>
        <v>0.92350877192982461</v>
      </c>
      <c r="AK328" s="5">
        <f t="shared" si="113"/>
        <v>12.005614035087721</v>
      </c>
      <c r="AL328" s="5">
        <f t="shared" si="114"/>
        <v>30.0140350877193</v>
      </c>
      <c r="AM328" s="5">
        <f t="shared" si="115"/>
        <v>0</v>
      </c>
      <c r="AN328" s="5">
        <f t="shared" si="116"/>
        <v>30.0140350877193</v>
      </c>
      <c r="AO328" s="1" t="s">
        <v>102</v>
      </c>
    </row>
    <row r="329" spans="1:41" x14ac:dyDescent="0.25">
      <c r="A329" s="1" t="s">
        <v>19</v>
      </c>
      <c r="B329" s="1" t="s">
        <v>35</v>
      </c>
      <c r="C329" s="1" t="s">
        <v>21</v>
      </c>
      <c r="D329" s="1" t="s">
        <v>36</v>
      </c>
      <c r="E329" s="1" t="s">
        <v>96</v>
      </c>
      <c r="F329" s="1" t="s">
        <v>103</v>
      </c>
      <c r="G329" s="1" t="s">
        <v>98</v>
      </c>
      <c r="H329" s="1" t="s">
        <v>355</v>
      </c>
      <c r="I329" s="1" t="s">
        <v>105</v>
      </c>
      <c r="J329" s="1" t="s">
        <v>106</v>
      </c>
      <c r="L329" s="1">
        <v>2950380</v>
      </c>
      <c r="M329" s="1" t="s">
        <v>509</v>
      </c>
      <c r="N329" s="8">
        <f t="shared" si="117"/>
        <v>44963</v>
      </c>
      <c r="O329" s="8">
        <f>DATE(2026,12,31)</f>
        <v>46387</v>
      </c>
      <c r="P329" s="1">
        <v>4840</v>
      </c>
      <c r="Q329" s="1">
        <v>3600</v>
      </c>
      <c r="R329" s="1">
        <f t="shared" si="99"/>
        <v>3600</v>
      </c>
      <c r="S329" s="1">
        <v>2.5</v>
      </c>
      <c r="U329" s="1">
        <f t="shared" si="100"/>
        <v>1425</v>
      </c>
      <c r="V329" s="7">
        <f t="shared" si="101"/>
        <v>2.5263157894736841</v>
      </c>
      <c r="W329" s="7">
        <f t="shared" si="102"/>
        <v>922.10526315789468</v>
      </c>
      <c r="X329" s="7">
        <f t="shared" si="103"/>
        <v>1.1526315789473685</v>
      </c>
      <c r="AA329" s="8">
        <f t="shared" si="104"/>
        <v>44927</v>
      </c>
      <c r="AB329" s="8">
        <f t="shared" si="105"/>
        <v>45291</v>
      </c>
      <c r="AC329" s="1">
        <v>40</v>
      </c>
      <c r="AD329" s="1">
        <f t="shared" si="106"/>
        <v>0</v>
      </c>
      <c r="AE329" s="1">
        <f t="shared" si="107"/>
        <v>329</v>
      </c>
      <c r="AF329" s="1">
        <f t="shared" si="108"/>
        <v>0</v>
      </c>
      <c r="AG329" s="1">
        <f t="shared" si="109"/>
        <v>0</v>
      </c>
      <c r="AH329" s="1">
        <f t="shared" si="110"/>
        <v>0</v>
      </c>
      <c r="AI329" s="5">
        <f t="shared" si="111"/>
        <v>0.90136986301369859</v>
      </c>
      <c r="AJ329" s="5">
        <f t="shared" si="112"/>
        <v>1.0389473684210526</v>
      </c>
      <c r="AK329" s="5">
        <f t="shared" si="113"/>
        <v>41.557894736842101</v>
      </c>
      <c r="AL329" s="5">
        <f t="shared" si="114"/>
        <v>103.89473684210526</v>
      </c>
      <c r="AM329" s="5">
        <f t="shared" si="115"/>
        <v>51.94736842105263</v>
      </c>
      <c r="AN329" s="5">
        <f t="shared" si="116"/>
        <v>155.84210526315789</v>
      </c>
      <c r="AO329" s="1" t="s">
        <v>102</v>
      </c>
    </row>
    <row r="330" spans="1:41" x14ac:dyDescent="0.25">
      <c r="A330" s="1" t="s">
        <v>19</v>
      </c>
      <c r="B330" s="1" t="s">
        <v>35</v>
      </c>
      <c r="C330" s="1" t="s">
        <v>21</v>
      </c>
      <c r="D330" s="1" t="s">
        <v>36</v>
      </c>
      <c r="E330" s="1" t="s">
        <v>96</v>
      </c>
      <c r="F330" s="1" t="s">
        <v>103</v>
      </c>
      <c r="G330" s="1" t="s">
        <v>185</v>
      </c>
      <c r="H330" s="1" t="s">
        <v>268</v>
      </c>
      <c r="I330" s="1" t="s">
        <v>105</v>
      </c>
      <c r="J330" s="1" t="s">
        <v>101</v>
      </c>
      <c r="L330" s="1">
        <v>2950426</v>
      </c>
      <c r="M330" s="1" t="s">
        <v>510</v>
      </c>
      <c r="N330" s="8">
        <f t="shared" si="117"/>
        <v>44963</v>
      </c>
      <c r="O330" s="8">
        <f>DATE(2024,7,31)</f>
        <v>45504</v>
      </c>
      <c r="P330" s="1">
        <v>420</v>
      </c>
      <c r="Q330" s="1">
        <v>360</v>
      </c>
      <c r="R330" s="1">
        <f t="shared" si="99"/>
        <v>360</v>
      </c>
      <c r="S330" s="1">
        <v>2.5</v>
      </c>
      <c r="U330" s="1">
        <f t="shared" si="100"/>
        <v>542</v>
      </c>
      <c r="V330" s="7">
        <f t="shared" si="101"/>
        <v>0.66420664206642066</v>
      </c>
      <c r="W330" s="7">
        <f t="shared" si="102"/>
        <v>242.43542435424354</v>
      </c>
      <c r="X330" s="7">
        <f t="shared" si="103"/>
        <v>0.3030442804428044</v>
      </c>
      <c r="AA330" s="8">
        <f t="shared" si="104"/>
        <v>44927</v>
      </c>
      <c r="AB330" s="8">
        <f t="shared" si="105"/>
        <v>45291</v>
      </c>
      <c r="AC330" s="1">
        <v>18</v>
      </c>
      <c r="AD330" s="1">
        <f t="shared" si="106"/>
        <v>0</v>
      </c>
      <c r="AE330" s="1">
        <f t="shared" si="107"/>
        <v>329</v>
      </c>
      <c r="AF330" s="1">
        <f t="shared" si="108"/>
        <v>0</v>
      </c>
      <c r="AG330" s="1">
        <f t="shared" si="109"/>
        <v>0</v>
      </c>
      <c r="AH330" s="1">
        <f t="shared" si="110"/>
        <v>0</v>
      </c>
      <c r="AI330" s="5">
        <f t="shared" si="111"/>
        <v>0.90136986301369859</v>
      </c>
      <c r="AJ330" s="5">
        <f t="shared" si="112"/>
        <v>0.27315498154981549</v>
      </c>
      <c r="AK330" s="5">
        <f t="shared" si="113"/>
        <v>4.9167896678966789</v>
      </c>
      <c r="AL330" s="5">
        <f t="shared" si="114"/>
        <v>12.291974169741698</v>
      </c>
      <c r="AM330" s="5">
        <f t="shared" si="115"/>
        <v>0</v>
      </c>
      <c r="AN330" s="5">
        <f t="shared" si="116"/>
        <v>12.291974169741698</v>
      </c>
      <c r="AO330" s="1" t="s">
        <v>102</v>
      </c>
    </row>
    <row r="331" spans="1:41" x14ac:dyDescent="0.25">
      <c r="A331" s="1" t="s">
        <v>19</v>
      </c>
      <c r="B331" s="1" t="s">
        <v>35</v>
      </c>
      <c r="C331" s="1" t="s">
        <v>21</v>
      </c>
      <c r="D331" s="1" t="s">
        <v>36</v>
      </c>
      <c r="E331" s="1" t="s">
        <v>96</v>
      </c>
      <c r="F331" s="1" t="s">
        <v>103</v>
      </c>
      <c r="G331" s="1" t="s">
        <v>320</v>
      </c>
      <c r="H331" s="1" t="s">
        <v>353</v>
      </c>
      <c r="I331" s="1" t="s">
        <v>174</v>
      </c>
      <c r="J331" s="1" t="s">
        <v>101</v>
      </c>
      <c r="L331" s="1">
        <v>2950457</v>
      </c>
      <c r="M331" s="1" t="s">
        <v>511</v>
      </c>
      <c r="N331" s="8">
        <f t="shared" si="117"/>
        <v>44963</v>
      </c>
      <c r="O331" s="8">
        <f>DATE(2026,12,31)</f>
        <v>46387</v>
      </c>
      <c r="P331" s="1">
        <v>3350</v>
      </c>
      <c r="Q331" s="1">
        <v>3200</v>
      </c>
      <c r="R331" s="1">
        <f t="shared" si="99"/>
        <v>3200</v>
      </c>
      <c r="S331" s="1">
        <v>2.5</v>
      </c>
      <c r="U331" s="1">
        <f t="shared" si="100"/>
        <v>1425</v>
      </c>
      <c r="V331" s="7">
        <f t="shared" si="101"/>
        <v>2.2456140350877192</v>
      </c>
      <c r="W331" s="7">
        <f t="shared" si="102"/>
        <v>819.64912280701753</v>
      </c>
      <c r="X331" s="7">
        <f t="shared" si="103"/>
        <v>1.024561403508772</v>
      </c>
      <c r="AA331" s="8">
        <f t="shared" si="104"/>
        <v>44927</v>
      </c>
      <c r="AB331" s="8">
        <f t="shared" si="105"/>
        <v>45291</v>
      </c>
      <c r="AC331" s="1">
        <v>34</v>
      </c>
      <c r="AD331" s="1">
        <f t="shared" si="106"/>
        <v>0</v>
      </c>
      <c r="AE331" s="1">
        <f t="shared" si="107"/>
        <v>329</v>
      </c>
      <c r="AF331" s="1">
        <f t="shared" si="108"/>
        <v>0</v>
      </c>
      <c r="AG331" s="1">
        <f t="shared" si="109"/>
        <v>0</v>
      </c>
      <c r="AH331" s="1">
        <f t="shared" si="110"/>
        <v>0</v>
      </c>
      <c r="AI331" s="5">
        <f t="shared" si="111"/>
        <v>0.90136986301369859</v>
      </c>
      <c r="AJ331" s="5">
        <f t="shared" si="112"/>
        <v>0.92350877192982461</v>
      </c>
      <c r="AK331" s="5">
        <f t="shared" si="113"/>
        <v>31.399298245614037</v>
      </c>
      <c r="AL331" s="5">
        <f t="shared" si="114"/>
        <v>78.498245614035099</v>
      </c>
      <c r="AM331" s="5">
        <f t="shared" si="115"/>
        <v>0</v>
      </c>
      <c r="AN331" s="5">
        <f t="shared" si="116"/>
        <v>78.498245614035099</v>
      </c>
      <c r="AO331" s="1" t="s">
        <v>102</v>
      </c>
    </row>
    <row r="332" spans="1:41" x14ac:dyDescent="0.25">
      <c r="A332" s="1" t="s">
        <v>19</v>
      </c>
      <c r="B332" s="1" t="s">
        <v>35</v>
      </c>
      <c r="C332" s="1" t="s">
        <v>21</v>
      </c>
      <c r="D332" s="1" t="s">
        <v>36</v>
      </c>
      <c r="E332" s="1" t="s">
        <v>96</v>
      </c>
      <c r="F332" s="1" t="s">
        <v>103</v>
      </c>
      <c r="G332" s="1" t="s">
        <v>114</v>
      </c>
      <c r="H332" s="1" t="s">
        <v>115</v>
      </c>
      <c r="I332" s="1" t="s">
        <v>100</v>
      </c>
      <c r="J332" s="1" t="s">
        <v>101</v>
      </c>
      <c r="K332" s="1" t="s">
        <v>382</v>
      </c>
      <c r="L332" s="1">
        <v>2950504</v>
      </c>
      <c r="M332" s="1" t="s">
        <v>512</v>
      </c>
      <c r="N332" s="8">
        <f t="shared" si="117"/>
        <v>44963</v>
      </c>
      <c r="O332" s="8">
        <f>DATE(2025,7,31)</f>
        <v>45869</v>
      </c>
      <c r="P332" s="1">
        <v>2240</v>
      </c>
      <c r="Q332" s="1">
        <v>800</v>
      </c>
      <c r="R332" s="1">
        <f t="shared" si="99"/>
        <v>2400</v>
      </c>
      <c r="S332" s="1">
        <v>2.5</v>
      </c>
      <c r="U332" s="1">
        <f t="shared" si="100"/>
        <v>907</v>
      </c>
      <c r="V332" s="7">
        <f t="shared" si="101"/>
        <v>2.4696802646085998</v>
      </c>
      <c r="W332" s="7">
        <f t="shared" si="102"/>
        <v>901.43329658213895</v>
      </c>
      <c r="X332" s="7">
        <f t="shared" si="103"/>
        <v>1.1267916207276736</v>
      </c>
      <c r="AA332" s="8">
        <f t="shared" si="104"/>
        <v>44927</v>
      </c>
      <c r="AB332" s="8">
        <f t="shared" si="105"/>
        <v>45291</v>
      </c>
      <c r="AC332" s="1">
        <v>10</v>
      </c>
      <c r="AD332" s="1">
        <f t="shared" si="106"/>
        <v>0</v>
      </c>
      <c r="AE332" s="1">
        <f t="shared" si="107"/>
        <v>329</v>
      </c>
      <c r="AF332" s="1">
        <f t="shared" si="108"/>
        <v>0</v>
      </c>
      <c r="AG332" s="1">
        <f t="shared" si="109"/>
        <v>0</v>
      </c>
      <c r="AH332" s="1">
        <f t="shared" si="110"/>
        <v>0</v>
      </c>
      <c r="AI332" s="5">
        <f t="shared" si="111"/>
        <v>0.90136986301369859</v>
      </c>
      <c r="AJ332" s="5">
        <f t="shared" si="112"/>
        <v>1.0156560088202866</v>
      </c>
      <c r="AK332" s="5">
        <f t="shared" si="113"/>
        <v>10.156560088202866</v>
      </c>
      <c r="AL332" s="5">
        <f t="shared" si="114"/>
        <v>25.391400220507165</v>
      </c>
      <c r="AM332" s="5">
        <f t="shared" si="115"/>
        <v>0</v>
      </c>
      <c r="AN332" s="5">
        <f t="shared" si="116"/>
        <v>25.391400220507165</v>
      </c>
      <c r="AO332" s="1" t="s">
        <v>102</v>
      </c>
    </row>
    <row r="333" spans="1:41" x14ac:dyDescent="0.25">
      <c r="A333" s="1" t="s">
        <v>19</v>
      </c>
      <c r="B333" s="1" t="s">
        <v>35</v>
      </c>
      <c r="C333" s="1" t="s">
        <v>21</v>
      </c>
      <c r="D333" s="1" t="s">
        <v>36</v>
      </c>
      <c r="E333" s="1" t="s">
        <v>172</v>
      </c>
      <c r="F333" s="1" t="s">
        <v>103</v>
      </c>
      <c r="G333" s="1" t="s">
        <v>114</v>
      </c>
      <c r="H333" s="1" t="s">
        <v>177</v>
      </c>
      <c r="I333" s="1" t="s">
        <v>174</v>
      </c>
      <c r="J333" s="1" t="s">
        <v>101</v>
      </c>
      <c r="K333" s="1" t="s">
        <v>175</v>
      </c>
      <c r="L333" s="1">
        <v>2966712</v>
      </c>
      <c r="M333" s="1" t="s">
        <v>513</v>
      </c>
      <c r="N333" s="8">
        <f>DATE(2023,4,3)</f>
        <v>45019</v>
      </c>
      <c r="O333" s="8">
        <f>DATE(2024,9,3)</f>
        <v>45538</v>
      </c>
      <c r="P333" s="1">
        <v>1200</v>
      </c>
      <c r="Q333" s="1">
        <v>1200</v>
      </c>
      <c r="R333" s="1">
        <f t="shared" si="99"/>
        <v>1200</v>
      </c>
      <c r="S333" s="1">
        <v>1</v>
      </c>
      <c r="U333" s="1">
        <f t="shared" si="100"/>
        <v>520</v>
      </c>
      <c r="V333" s="7">
        <f t="shared" si="101"/>
        <v>2.3076923076923075</v>
      </c>
      <c r="W333" s="7">
        <f t="shared" si="102"/>
        <v>842.30769230769226</v>
      </c>
      <c r="X333" s="7">
        <f t="shared" si="103"/>
        <v>1.0528846153846154</v>
      </c>
      <c r="AA333" s="8">
        <f t="shared" si="104"/>
        <v>44927</v>
      </c>
      <c r="AB333" s="8">
        <f t="shared" si="105"/>
        <v>45291</v>
      </c>
      <c r="AC333" s="1">
        <v>12</v>
      </c>
      <c r="AD333" s="1">
        <f t="shared" si="106"/>
        <v>0</v>
      </c>
      <c r="AE333" s="1">
        <f t="shared" si="107"/>
        <v>273</v>
      </c>
      <c r="AF333" s="1">
        <f t="shared" si="108"/>
        <v>0</v>
      </c>
      <c r="AG333" s="1">
        <f t="shared" si="109"/>
        <v>0</v>
      </c>
      <c r="AH333" s="1">
        <f t="shared" si="110"/>
        <v>0</v>
      </c>
      <c r="AI333" s="5">
        <f t="shared" si="111"/>
        <v>0.74794520547945209</v>
      </c>
      <c r="AJ333" s="5">
        <f t="shared" si="112"/>
        <v>0.78750000000000009</v>
      </c>
      <c r="AK333" s="5">
        <f t="shared" si="113"/>
        <v>9.4500000000000011</v>
      </c>
      <c r="AL333" s="5">
        <f t="shared" si="114"/>
        <v>9.4500000000000011</v>
      </c>
      <c r="AM333" s="5">
        <f t="shared" si="115"/>
        <v>0</v>
      </c>
      <c r="AN333" s="5">
        <f t="shared" si="116"/>
        <v>9.4500000000000011</v>
      </c>
      <c r="AO333" s="1" t="s">
        <v>122</v>
      </c>
    </row>
    <row r="334" spans="1:41" x14ac:dyDescent="0.25">
      <c r="A334" s="1" t="s">
        <v>19</v>
      </c>
      <c r="B334" s="1" t="s">
        <v>35</v>
      </c>
      <c r="C334" s="1" t="s">
        <v>21</v>
      </c>
      <c r="D334" s="1" t="s">
        <v>36</v>
      </c>
      <c r="E334" s="1" t="s">
        <v>172</v>
      </c>
      <c r="F334" s="1" t="s">
        <v>103</v>
      </c>
      <c r="G334" s="1" t="s">
        <v>114</v>
      </c>
      <c r="H334" s="1" t="s">
        <v>173</v>
      </c>
      <c r="I334" s="1" t="s">
        <v>174</v>
      </c>
      <c r="J334" s="1" t="s">
        <v>101</v>
      </c>
      <c r="K334" s="1" t="s">
        <v>175</v>
      </c>
      <c r="L334" s="1">
        <v>2966713</v>
      </c>
      <c r="M334" s="1" t="s">
        <v>514</v>
      </c>
      <c r="N334" s="8">
        <f>DATE(2023,4,3)</f>
        <v>45019</v>
      </c>
      <c r="O334" s="8">
        <f>DATE(2024,9,3)</f>
        <v>45538</v>
      </c>
      <c r="P334" s="1">
        <v>1200</v>
      </c>
      <c r="Q334" s="1">
        <v>1200</v>
      </c>
      <c r="R334" s="1">
        <f t="shared" si="99"/>
        <v>1200</v>
      </c>
      <c r="S334" s="1">
        <v>2</v>
      </c>
      <c r="U334" s="1">
        <f t="shared" si="100"/>
        <v>520</v>
      </c>
      <c r="V334" s="7">
        <f t="shared" si="101"/>
        <v>2.3076923076923075</v>
      </c>
      <c r="W334" s="7">
        <f t="shared" si="102"/>
        <v>842.30769230769226</v>
      </c>
      <c r="X334" s="7">
        <f t="shared" si="103"/>
        <v>1.0528846153846154</v>
      </c>
      <c r="AA334" s="8">
        <f t="shared" si="104"/>
        <v>44927</v>
      </c>
      <c r="AB334" s="8">
        <f t="shared" si="105"/>
        <v>45291</v>
      </c>
      <c r="AC334" s="1">
        <v>17</v>
      </c>
      <c r="AD334" s="1">
        <f t="shared" si="106"/>
        <v>0</v>
      </c>
      <c r="AE334" s="1">
        <f t="shared" si="107"/>
        <v>273</v>
      </c>
      <c r="AF334" s="1">
        <f t="shared" si="108"/>
        <v>0</v>
      </c>
      <c r="AG334" s="1">
        <f t="shared" si="109"/>
        <v>0</v>
      </c>
      <c r="AH334" s="1">
        <f t="shared" si="110"/>
        <v>0</v>
      </c>
      <c r="AI334" s="5">
        <f t="shared" si="111"/>
        <v>0.74794520547945209</v>
      </c>
      <c r="AJ334" s="5">
        <f t="shared" si="112"/>
        <v>0.78750000000000009</v>
      </c>
      <c r="AK334" s="5">
        <f t="shared" si="113"/>
        <v>13.387500000000001</v>
      </c>
      <c r="AL334" s="5">
        <f t="shared" si="114"/>
        <v>26.775000000000002</v>
      </c>
      <c r="AM334" s="5">
        <f t="shared" si="115"/>
        <v>0</v>
      </c>
      <c r="AN334" s="5">
        <f t="shared" si="116"/>
        <v>26.775000000000002</v>
      </c>
      <c r="AO334" s="1" t="s">
        <v>122</v>
      </c>
    </row>
    <row r="335" spans="1:41" x14ac:dyDescent="0.25">
      <c r="A335" s="1" t="s">
        <v>19</v>
      </c>
      <c r="B335" s="1" t="s">
        <v>35</v>
      </c>
      <c r="C335" s="1" t="s">
        <v>21</v>
      </c>
      <c r="D335" s="1" t="s">
        <v>36</v>
      </c>
      <c r="E335" s="1" t="s">
        <v>172</v>
      </c>
      <c r="F335" s="1" t="s">
        <v>103</v>
      </c>
      <c r="G335" s="1" t="s">
        <v>114</v>
      </c>
      <c r="H335" s="1" t="s">
        <v>179</v>
      </c>
      <c r="I335" s="1" t="s">
        <v>174</v>
      </c>
      <c r="J335" s="1" t="s">
        <v>101</v>
      </c>
      <c r="K335" s="1" t="s">
        <v>175</v>
      </c>
      <c r="L335" s="1">
        <v>2970234</v>
      </c>
      <c r="M335" s="1" t="s">
        <v>515</v>
      </c>
      <c r="N335" s="8">
        <f>DATE(2023,4,3)</f>
        <v>45019</v>
      </c>
      <c r="O335" s="8">
        <f>DATE(2024,9,3)</f>
        <v>45538</v>
      </c>
      <c r="P335" s="1">
        <v>1200</v>
      </c>
      <c r="Q335" s="1">
        <v>800</v>
      </c>
      <c r="R335" s="1">
        <f t="shared" si="99"/>
        <v>800</v>
      </c>
      <c r="S335" s="1">
        <v>1.5</v>
      </c>
      <c r="U335" s="1">
        <f t="shared" si="100"/>
        <v>520</v>
      </c>
      <c r="V335" s="7">
        <f t="shared" si="101"/>
        <v>1.5384615384615385</v>
      </c>
      <c r="W335" s="7">
        <f t="shared" si="102"/>
        <v>561.53846153846155</v>
      </c>
      <c r="X335" s="7">
        <f t="shared" si="103"/>
        <v>0.70192307692307698</v>
      </c>
      <c r="AA335" s="8">
        <f t="shared" si="104"/>
        <v>44927</v>
      </c>
      <c r="AB335" s="8">
        <f t="shared" si="105"/>
        <v>45291</v>
      </c>
      <c r="AC335" s="1">
        <v>13</v>
      </c>
      <c r="AD335" s="1">
        <f t="shared" si="106"/>
        <v>0</v>
      </c>
      <c r="AE335" s="1">
        <f t="shared" si="107"/>
        <v>273</v>
      </c>
      <c r="AF335" s="1">
        <f t="shared" si="108"/>
        <v>0</v>
      </c>
      <c r="AG335" s="1">
        <f t="shared" si="109"/>
        <v>0</v>
      </c>
      <c r="AH335" s="1">
        <f t="shared" si="110"/>
        <v>0</v>
      </c>
      <c r="AI335" s="5">
        <f t="shared" si="111"/>
        <v>0.74794520547945209</v>
      </c>
      <c r="AJ335" s="5">
        <f t="shared" si="112"/>
        <v>0.52500000000000002</v>
      </c>
      <c r="AK335" s="5">
        <f t="shared" si="113"/>
        <v>6.8250000000000002</v>
      </c>
      <c r="AL335" s="5">
        <f t="shared" si="114"/>
        <v>10.237500000000001</v>
      </c>
      <c r="AM335" s="5">
        <f t="shared" si="115"/>
        <v>0</v>
      </c>
      <c r="AN335" s="5">
        <f t="shared" si="116"/>
        <v>10.237500000000001</v>
      </c>
      <c r="AO335" s="1" t="s">
        <v>122</v>
      </c>
    </row>
    <row r="336" spans="1:41" x14ac:dyDescent="0.25">
      <c r="A336" s="1" t="s">
        <v>19</v>
      </c>
      <c r="B336" s="1" t="s">
        <v>35</v>
      </c>
      <c r="C336" s="1" t="s">
        <v>21</v>
      </c>
      <c r="D336" s="1" t="s">
        <v>36</v>
      </c>
      <c r="E336" s="1" t="s">
        <v>96</v>
      </c>
      <c r="F336" s="1" t="s">
        <v>103</v>
      </c>
      <c r="G336" s="1" t="s">
        <v>114</v>
      </c>
      <c r="H336" s="1" t="s">
        <v>516</v>
      </c>
      <c r="I336" s="1" t="s">
        <v>105</v>
      </c>
      <c r="J336" s="1" t="s">
        <v>106</v>
      </c>
      <c r="K336" s="1" t="s">
        <v>163</v>
      </c>
      <c r="L336" s="1">
        <v>3071242</v>
      </c>
      <c r="M336" s="1" t="s">
        <v>517</v>
      </c>
      <c r="N336" s="8">
        <f>DATE(2023,8,2)</f>
        <v>45140</v>
      </c>
      <c r="O336" s="8">
        <f>DATE(2025,12,31)</f>
        <v>46022</v>
      </c>
      <c r="P336" s="1">
        <v>3000</v>
      </c>
      <c r="Q336" s="1">
        <v>1200</v>
      </c>
      <c r="R336" s="1">
        <f t="shared" si="99"/>
        <v>1200</v>
      </c>
      <c r="S336" s="1">
        <v>2.5</v>
      </c>
      <c r="U336" s="1">
        <f t="shared" si="100"/>
        <v>883</v>
      </c>
      <c r="V336" s="7">
        <f t="shared" si="101"/>
        <v>1.3590033975084939</v>
      </c>
      <c r="W336" s="7">
        <f t="shared" si="102"/>
        <v>496.03624009060024</v>
      </c>
      <c r="X336" s="7">
        <f t="shared" si="103"/>
        <v>0.62004530011325032</v>
      </c>
      <c r="AA336" s="8">
        <f t="shared" si="104"/>
        <v>44927</v>
      </c>
      <c r="AB336" s="8">
        <f t="shared" si="105"/>
        <v>45291</v>
      </c>
      <c r="AC336" s="1">
        <v>35</v>
      </c>
      <c r="AD336" s="1">
        <f t="shared" si="106"/>
        <v>0</v>
      </c>
      <c r="AE336" s="1">
        <f t="shared" si="107"/>
        <v>152</v>
      </c>
      <c r="AF336" s="1">
        <f t="shared" si="108"/>
        <v>0</v>
      </c>
      <c r="AG336" s="1">
        <f t="shared" si="109"/>
        <v>0</v>
      </c>
      <c r="AH336" s="1">
        <f t="shared" si="110"/>
        <v>0</v>
      </c>
      <c r="AI336" s="5">
        <f t="shared" si="111"/>
        <v>0.41643835616438357</v>
      </c>
      <c r="AJ336" s="5">
        <f t="shared" si="112"/>
        <v>0.25821064552661382</v>
      </c>
      <c r="AK336" s="5">
        <f t="shared" si="113"/>
        <v>9.037372593431483</v>
      </c>
      <c r="AL336" s="5">
        <f t="shared" si="114"/>
        <v>22.593431483578708</v>
      </c>
      <c r="AM336" s="5">
        <f t="shared" si="115"/>
        <v>11.296715741789354</v>
      </c>
      <c r="AN336" s="5">
        <f t="shared" si="116"/>
        <v>33.890147225368061</v>
      </c>
      <c r="AO336" s="1" t="s">
        <v>102</v>
      </c>
    </row>
    <row r="337" spans="1:41" x14ac:dyDescent="0.25">
      <c r="A337" s="1" t="s">
        <v>19</v>
      </c>
      <c r="B337" s="1" t="s">
        <v>37</v>
      </c>
      <c r="C337" s="1" t="s">
        <v>21</v>
      </c>
      <c r="D337" s="1" t="s">
        <v>38</v>
      </c>
      <c r="E337" s="1" t="s">
        <v>96</v>
      </c>
      <c r="F337" s="1" t="s">
        <v>103</v>
      </c>
      <c r="G337" s="1" t="s">
        <v>127</v>
      </c>
      <c r="H337" s="1" t="s">
        <v>518</v>
      </c>
      <c r="I337" s="1" t="s">
        <v>162</v>
      </c>
      <c r="J337" s="1" t="s">
        <v>101</v>
      </c>
      <c r="L337" s="1">
        <v>393095</v>
      </c>
      <c r="M337" s="1" t="s">
        <v>519</v>
      </c>
      <c r="N337" s="8">
        <f>DATE(2008,7,14)</f>
        <v>39643</v>
      </c>
      <c r="O337" s="8">
        <f>DATE(2011,6,17)</f>
        <v>40711</v>
      </c>
      <c r="P337" s="1">
        <v>2246</v>
      </c>
      <c r="Q337" s="1">
        <v>2000</v>
      </c>
      <c r="R337" s="1">
        <f t="shared" si="99"/>
        <v>2000</v>
      </c>
      <c r="S337" s="1">
        <v>1.5</v>
      </c>
      <c r="U337" s="1">
        <f t="shared" si="100"/>
        <v>1069</v>
      </c>
      <c r="V337" s="7">
        <f t="shared" si="101"/>
        <v>1.8709073900841908</v>
      </c>
      <c r="W337" s="7">
        <f t="shared" si="102"/>
        <v>682.88119738072965</v>
      </c>
      <c r="X337" s="7">
        <f t="shared" si="103"/>
        <v>0.85360149672591201</v>
      </c>
      <c r="AA337" s="8">
        <f t="shared" si="104"/>
        <v>44927</v>
      </c>
      <c r="AB337" s="8">
        <f t="shared" si="105"/>
        <v>45291</v>
      </c>
      <c r="AC337" s="1">
        <v>1</v>
      </c>
      <c r="AD337" s="1">
        <f t="shared" si="106"/>
        <v>0</v>
      </c>
      <c r="AE337" s="1">
        <f t="shared" si="107"/>
        <v>0</v>
      </c>
      <c r="AF337" s="1">
        <f t="shared" si="108"/>
        <v>0</v>
      </c>
      <c r="AG337" s="1">
        <f t="shared" si="109"/>
        <v>0</v>
      </c>
      <c r="AH337" s="1">
        <f t="shared" si="110"/>
        <v>182.5</v>
      </c>
      <c r="AI337" s="5">
        <f t="shared" si="111"/>
        <v>0.5</v>
      </c>
      <c r="AJ337" s="5">
        <f t="shared" si="112"/>
        <v>0.42680074836295601</v>
      </c>
      <c r="AK337" s="5">
        <f t="shared" si="113"/>
        <v>0</v>
      </c>
      <c r="AL337" s="5">
        <f t="shared" si="114"/>
        <v>0</v>
      </c>
      <c r="AM337" s="5">
        <f t="shared" si="115"/>
        <v>0</v>
      </c>
      <c r="AN337" s="5">
        <f t="shared" si="116"/>
        <v>0</v>
      </c>
      <c r="AO337" s="1" t="s">
        <v>102</v>
      </c>
    </row>
    <row r="338" spans="1:41" x14ac:dyDescent="0.25">
      <c r="A338" s="1" t="s">
        <v>19</v>
      </c>
      <c r="B338" s="1" t="s">
        <v>37</v>
      </c>
      <c r="C338" s="1" t="s">
        <v>21</v>
      </c>
      <c r="D338" s="1" t="s">
        <v>38</v>
      </c>
      <c r="E338" s="1" t="s">
        <v>96</v>
      </c>
      <c r="F338" s="1" t="s">
        <v>103</v>
      </c>
      <c r="G338" s="1" t="s">
        <v>127</v>
      </c>
      <c r="H338" s="1" t="s">
        <v>520</v>
      </c>
      <c r="I338" s="1" t="s">
        <v>210</v>
      </c>
      <c r="J338" s="1" t="s">
        <v>101</v>
      </c>
      <c r="L338" s="1">
        <v>800951</v>
      </c>
      <c r="M338" s="1" t="s">
        <v>521</v>
      </c>
      <c r="N338" s="8">
        <f>DATE(2011,2,7)</f>
        <v>40581</v>
      </c>
      <c r="O338" s="8">
        <f>DATE(2014,7,11)</f>
        <v>41831</v>
      </c>
      <c r="P338" s="1">
        <v>2406</v>
      </c>
      <c r="Q338" s="1">
        <v>2400</v>
      </c>
      <c r="R338" s="1">
        <f t="shared" si="99"/>
        <v>2400</v>
      </c>
      <c r="S338" s="1">
        <v>2.5</v>
      </c>
      <c r="U338" s="1">
        <f t="shared" si="100"/>
        <v>1251</v>
      </c>
      <c r="V338" s="7">
        <f t="shared" si="101"/>
        <v>1.9184652278177459</v>
      </c>
      <c r="W338" s="7">
        <f t="shared" si="102"/>
        <v>700.23980815347727</v>
      </c>
      <c r="X338" s="7">
        <f t="shared" si="103"/>
        <v>0.87529976019184663</v>
      </c>
      <c r="AA338" s="8">
        <f t="shared" si="104"/>
        <v>44927</v>
      </c>
      <c r="AB338" s="8">
        <f t="shared" si="105"/>
        <v>45291</v>
      </c>
      <c r="AC338" s="1">
        <v>1</v>
      </c>
      <c r="AD338" s="1">
        <f t="shared" si="106"/>
        <v>0</v>
      </c>
      <c r="AE338" s="1">
        <f t="shared" si="107"/>
        <v>0</v>
      </c>
      <c r="AF338" s="1">
        <f t="shared" si="108"/>
        <v>0</v>
      </c>
      <c r="AG338" s="1">
        <f t="shared" si="109"/>
        <v>0</v>
      </c>
      <c r="AH338" s="1">
        <f t="shared" si="110"/>
        <v>182.5</v>
      </c>
      <c r="AI338" s="5">
        <f t="shared" si="111"/>
        <v>0.5</v>
      </c>
      <c r="AJ338" s="5">
        <f t="shared" si="112"/>
        <v>0.43764988009592332</v>
      </c>
      <c r="AK338" s="5">
        <f t="shared" si="113"/>
        <v>0</v>
      </c>
      <c r="AL338" s="5">
        <f t="shared" si="114"/>
        <v>0</v>
      </c>
      <c r="AM338" s="5">
        <f t="shared" si="115"/>
        <v>0</v>
      </c>
      <c r="AN338" s="5">
        <f t="shared" si="116"/>
        <v>0</v>
      </c>
      <c r="AO338" s="1" t="s">
        <v>102</v>
      </c>
    </row>
    <row r="339" spans="1:41" x14ac:dyDescent="0.25">
      <c r="A339" s="1" t="s">
        <v>19</v>
      </c>
      <c r="B339" s="1" t="s">
        <v>37</v>
      </c>
      <c r="C339" s="1" t="s">
        <v>21</v>
      </c>
      <c r="D339" s="1" t="s">
        <v>38</v>
      </c>
      <c r="E339" s="1" t="s">
        <v>96</v>
      </c>
      <c r="F339" s="1" t="s">
        <v>103</v>
      </c>
      <c r="G339" s="1" t="s">
        <v>127</v>
      </c>
      <c r="H339" s="1" t="s">
        <v>518</v>
      </c>
      <c r="I339" s="1" t="s">
        <v>162</v>
      </c>
      <c r="J339" s="1" t="s">
        <v>101</v>
      </c>
      <c r="L339" s="1">
        <v>802782</v>
      </c>
      <c r="M339" s="1" t="s">
        <v>522</v>
      </c>
      <c r="N339" s="8">
        <f>DATE(2011,2,7)</f>
        <v>40581</v>
      </c>
      <c r="O339" s="8">
        <f>DATE(2013,12,23)</f>
        <v>41631</v>
      </c>
      <c r="P339" s="1">
        <v>2246</v>
      </c>
      <c r="Q339" s="1">
        <v>2000</v>
      </c>
      <c r="R339" s="1">
        <f t="shared" si="99"/>
        <v>2000</v>
      </c>
      <c r="S339" s="1">
        <v>1.5</v>
      </c>
      <c r="U339" s="1">
        <f t="shared" si="100"/>
        <v>1051</v>
      </c>
      <c r="V339" s="7">
        <f t="shared" si="101"/>
        <v>1.9029495718363463</v>
      </c>
      <c r="W339" s="7">
        <f t="shared" si="102"/>
        <v>694.57659372026637</v>
      </c>
      <c r="X339" s="7">
        <f t="shared" si="103"/>
        <v>0.86822074215033296</v>
      </c>
      <c r="AA339" s="8">
        <f t="shared" si="104"/>
        <v>44927</v>
      </c>
      <c r="AB339" s="8">
        <f t="shared" si="105"/>
        <v>45291</v>
      </c>
      <c r="AC339" s="1">
        <v>1</v>
      </c>
      <c r="AD339" s="1">
        <f t="shared" si="106"/>
        <v>0</v>
      </c>
      <c r="AE339" s="1">
        <f t="shared" si="107"/>
        <v>0</v>
      </c>
      <c r="AF339" s="1">
        <f t="shared" si="108"/>
        <v>0</v>
      </c>
      <c r="AG339" s="1">
        <f t="shared" si="109"/>
        <v>0</v>
      </c>
      <c r="AH339" s="1">
        <f t="shared" si="110"/>
        <v>182.5</v>
      </c>
      <c r="AI339" s="5">
        <f t="shared" si="111"/>
        <v>0.5</v>
      </c>
      <c r="AJ339" s="5">
        <f t="shared" si="112"/>
        <v>0.43411037107516648</v>
      </c>
      <c r="AK339" s="5">
        <f t="shared" si="113"/>
        <v>0</v>
      </c>
      <c r="AL339" s="5">
        <f t="shared" si="114"/>
        <v>0</v>
      </c>
      <c r="AM339" s="5">
        <f t="shared" si="115"/>
        <v>0</v>
      </c>
      <c r="AN339" s="5">
        <f t="shared" si="116"/>
        <v>0</v>
      </c>
      <c r="AO339" s="1" t="s">
        <v>102</v>
      </c>
    </row>
    <row r="340" spans="1:41" x14ac:dyDescent="0.25">
      <c r="A340" s="1" t="s">
        <v>19</v>
      </c>
      <c r="B340" s="1" t="s">
        <v>37</v>
      </c>
      <c r="C340" s="1" t="s">
        <v>21</v>
      </c>
      <c r="D340" s="1" t="s">
        <v>38</v>
      </c>
      <c r="E340" s="1" t="s">
        <v>96</v>
      </c>
      <c r="F340" s="1" t="s">
        <v>103</v>
      </c>
      <c r="G340" s="1" t="s">
        <v>98</v>
      </c>
      <c r="H340" s="1" t="s">
        <v>523</v>
      </c>
      <c r="I340" s="1" t="s">
        <v>100</v>
      </c>
      <c r="J340" s="1" t="s">
        <v>101</v>
      </c>
      <c r="L340" s="1">
        <v>810692</v>
      </c>
      <c r="M340" s="1" t="s">
        <v>524</v>
      </c>
      <c r="N340" s="8">
        <f>DATE(2011,7,26)</f>
        <v>40750</v>
      </c>
      <c r="O340" s="8">
        <f>DATE(2014,6,20)</f>
        <v>41810</v>
      </c>
      <c r="P340" s="1">
        <v>3593</v>
      </c>
      <c r="Q340" s="1">
        <v>2400</v>
      </c>
      <c r="R340" s="1">
        <f t="shared" si="99"/>
        <v>2400</v>
      </c>
      <c r="S340" s="1">
        <v>1</v>
      </c>
      <c r="U340" s="1">
        <f t="shared" si="100"/>
        <v>1061</v>
      </c>
      <c r="V340" s="7">
        <f t="shared" si="101"/>
        <v>2.2620169651272386</v>
      </c>
      <c r="W340" s="7">
        <f t="shared" si="102"/>
        <v>825.63619227144204</v>
      </c>
      <c r="X340" s="7">
        <f t="shared" si="103"/>
        <v>1.0320452403393026</v>
      </c>
      <c r="AA340" s="8">
        <f t="shared" si="104"/>
        <v>44927</v>
      </c>
      <c r="AB340" s="8">
        <f t="shared" si="105"/>
        <v>45291</v>
      </c>
      <c r="AC340" s="1">
        <v>0</v>
      </c>
      <c r="AD340" s="1">
        <f t="shared" si="106"/>
        <v>0</v>
      </c>
      <c r="AE340" s="1">
        <f t="shared" si="107"/>
        <v>0</v>
      </c>
      <c r="AF340" s="1">
        <f t="shared" si="108"/>
        <v>0</v>
      </c>
      <c r="AG340" s="1">
        <f t="shared" si="109"/>
        <v>0</v>
      </c>
      <c r="AH340" s="1">
        <f t="shared" si="110"/>
        <v>182.5</v>
      </c>
      <c r="AI340" s="5">
        <f t="shared" si="111"/>
        <v>0.5</v>
      </c>
      <c r="AJ340" s="5">
        <f t="shared" si="112"/>
        <v>0.51602262016965128</v>
      </c>
      <c r="AK340" s="5">
        <f t="shared" si="113"/>
        <v>0</v>
      </c>
      <c r="AL340" s="5">
        <f t="shared" si="114"/>
        <v>0</v>
      </c>
      <c r="AM340" s="5">
        <f t="shared" si="115"/>
        <v>0</v>
      </c>
      <c r="AN340" s="5">
        <f t="shared" si="116"/>
        <v>0</v>
      </c>
      <c r="AO340" s="1" t="s">
        <v>102</v>
      </c>
    </row>
    <row r="341" spans="1:41" x14ac:dyDescent="0.25">
      <c r="A341" s="1" t="s">
        <v>19</v>
      </c>
      <c r="B341" s="1" t="s">
        <v>37</v>
      </c>
      <c r="C341" s="1" t="s">
        <v>21</v>
      </c>
      <c r="D341" s="1" t="s">
        <v>38</v>
      </c>
      <c r="E341" s="1" t="s">
        <v>96</v>
      </c>
      <c r="F341" s="1" t="s">
        <v>103</v>
      </c>
      <c r="G341" s="1" t="s">
        <v>127</v>
      </c>
      <c r="H341" s="1" t="s">
        <v>525</v>
      </c>
      <c r="I341" s="1" t="s">
        <v>331</v>
      </c>
      <c r="J341" s="1" t="s">
        <v>101</v>
      </c>
      <c r="L341" s="1">
        <v>1252004</v>
      </c>
      <c r="M341" s="1" t="s">
        <v>526</v>
      </c>
      <c r="N341" s="8">
        <f>DATE(2012,4,9)</f>
        <v>41008</v>
      </c>
      <c r="O341" s="8">
        <f>DATE(2014,12,23)</f>
        <v>41996</v>
      </c>
      <c r="P341" s="1">
        <v>2416</v>
      </c>
      <c r="Q341" s="1">
        <v>2400</v>
      </c>
      <c r="R341" s="1">
        <f t="shared" si="99"/>
        <v>2400</v>
      </c>
      <c r="S341" s="1">
        <v>2.5</v>
      </c>
      <c r="U341" s="1">
        <f t="shared" si="100"/>
        <v>989</v>
      </c>
      <c r="V341" s="7">
        <f t="shared" si="101"/>
        <v>2.4266936299292214</v>
      </c>
      <c r="W341" s="7">
        <f t="shared" si="102"/>
        <v>885.74317492416583</v>
      </c>
      <c r="X341" s="7">
        <f t="shared" si="103"/>
        <v>1.1071789686552074</v>
      </c>
      <c r="AA341" s="8">
        <f t="shared" si="104"/>
        <v>44927</v>
      </c>
      <c r="AB341" s="8">
        <f t="shared" si="105"/>
        <v>45291</v>
      </c>
      <c r="AC341" s="1">
        <v>0</v>
      </c>
      <c r="AD341" s="1">
        <f t="shared" si="106"/>
        <v>0</v>
      </c>
      <c r="AE341" s="1">
        <f t="shared" si="107"/>
        <v>0</v>
      </c>
      <c r="AF341" s="1">
        <f t="shared" si="108"/>
        <v>0</v>
      </c>
      <c r="AG341" s="1">
        <f t="shared" si="109"/>
        <v>0</v>
      </c>
      <c r="AH341" s="1">
        <f t="shared" si="110"/>
        <v>182.5</v>
      </c>
      <c r="AI341" s="5">
        <f t="shared" si="111"/>
        <v>0.5</v>
      </c>
      <c r="AJ341" s="5">
        <f t="shared" si="112"/>
        <v>0.55358948432760369</v>
      </c>
      <c r="AK341" s="5">
        <f t="shared" si="113"/>
        <v>0</v>
      </c>
      <c r="AL341" s="5">
        <f t="shared" si="114"/>
        <v>0</v>
      </c>
      <c r="AM341" s="5">
        <f t="shared" si="115"/>
        <v>0</v>
      </c>
      <c r="AN341" s="5">
        <f t="shared" si="116"/>
        <v>0</v>
      </c>
      <c r="AO341" s="1" t="s">
        <v>102</v>
      </c>
    </row>
    <row r="342" spans="1:41" x14ac:dyDescent="0.25">
      <c r="A342" s="1" t="s">
        <v>19</v>
      </c>
      <c r="B342" s="1" t="s">
        <v>37</v>
      </c>
      <c r="C342" s="1" t="s">
        <v>21</v>
      </c>
      <c r="D342" s="1" t="s">
        <v>38</v>
      </c>
      <c r="E342" s="1" t="s">
        <v>96</v>
      </c>
      <c r="F342" s="1" t="s">
        <v>103</v>
      </c>
      <c r="G342" s="1" t="s">
        <v>127</v>
      </c>
      <c r="H342" s="1" t="s">
        <v>518</v>
      </c>
      <c r="I342" s="1" t="s">
        <v>162</v>
      </c>
      <c r="J342" s="1" t="s">
        <v>101</v>
      </c>
      <c r="L342" s="1">
        <v>1252007</v>
      </c>
      <c r="M342" s="1" t="s">
        <v>527</v>
      </c>
      <c r="N342" s="8">
        <f>DATE(2012,4,9)</f>
        <v>41008</v>
      </c>
      <c r="O342" s="8">
        <f>DATE(2014,12,23)</f>
        <v>41996</v>
      </c>
      <c r="P342" s="1">
        <v>2246</v>
      </c>
      <c r="Q342" s="1">
        <v>2000</v>
      </c>
      <c r="R342" s="1">
        <f t="shared" si="99"/>
        <v>2000</v>
      </c>
      <c r="S342" s="1">
        <v>1.5</v>
      </c>
      <c r="U342" s="1">
        <f t="shared" si="100"/>
        <v>989</v>
      </c>
      <c r="V342" s="7">
        <f t="shared" si="101"/>
        <v>2.0222446916076846</v>
      </c>
      <c r="W342" s="7">
        <f t="shared" si="102"/>
        <v>738.11931243680488</v>
      </c>
      <c r="X342" s="7">
        <f t="shared" si="103"/>
        <v>0.92264914054600611</v>
      </c>
      <c r="AA342" s="8">
        <f t="shared" si="104"/>
        <v>44927</v>
      </c>
      <c r="AB342" s="8">
        <f t="shared" si="105"/>
        <v>45291</v>
      </c>
      <c r="AC342" s="1">
        <v>7</v>
      </c>
      <c r="AD342" s="1">
        <f t="shared" si="106"/>
        <v>0</v>
      </c>
      <c r="AE342" s="1">
        <f t="shared" si="107"/>
        <v>0</v>
      </c>
      <c r="AF342" s="1">
        <f t="shared" si="108"/>
        <v>0</v>
      </c>
      <c r="AG342" s="1">
        <f t="shared" si="109"/>
        <v>0</v>
      </c>
      <c r="AH342" s="1">
        <f t="shared" si="110"/>
        <v>182.5</v>
      </c>
      <c r="AI342" s="5">
        <f t="shared" si="111"/>
        <v>0.5</v>
      </c>
      <c r="AJ342" s="5">
        <f t="shared" si="112"/>
        <v>0.46132457027300305</v>
      </c>
      <c r="AK342" s="5">
        <f t="shared" si="113"/>
        <v>0</v>
      </c>
      <c r="AL342" s="5">
        <f t="shared" si="114"/>
        <v>0</v>
      </c>
      <c r="AM342" s="5">
        <f t="shared" si="115"/>
        <v>0</v>
      </c>
      <c r="AN342" s="5">
        <f t="shared" si="116"/>
        <v>0</v>
      </c>
      <c r="AO342" s="1" t="s">
        <v>102</v>
      </c>
    </row>
    <row r="343" spans="1:41" x14ac:dyDescent="0.25">
      <c r="A343" s="1" t="s">
        <v>19</v>
      </c>
      <c r="B343" s="1" t="s">
        <v>37</v>
      </c>
      <c r="C343" s="1" t="s">
        <v>21</v>
      </c>
      <c r="D343" s="1" t="s">
        <v>38</v>
      </c>
      <c r="E343" s="1" t="s">
        <v>96</v>
      </c>
      <c r="F343" s="1" t="s">
        <v>103</v>
      </c>
      <c r="G343" s="1" t="s">
        <v>127</v>
      </c>
      <c r="H343" s="1" t="s">
        <v>528</v>
      </c>
      <c r="I343" s="1" t="s">
        <v>162</v>
      </c>
      <c r="J343" s="1" t="s">
        <v>101</v>
      </c>
      <c r="L343" s="1">
        <v>1252008</v>
      </c>
      <c r="M343" s="1" t="s">
        <v>529</v>
      </c>
      <c r="N343" s="8">
        <f>DATE(2012,4,9)</f>
        <v>41008</v>
      </c>
      <c r="O343" s="8">
        <f>DATE(2014,12,23)</f>
        <v>41996</v>
      </c>
      <c r="P343" s="1">
        <v>2280</v>
      </c>
      <c r="Q343" s="1">
        <v>2000</v>
      </c>
      <c r="R343" s="1">
        <f t="shared" si="99"/>
        <v>2000</v>
      </c>
      <c r="S343" s="1">
        <v>1</v>
      </c>
      <c r="U343" s="1">
        <f t="shared" si="100"/>
        <v>989</v>
      </c>
      <c r="V343" s="7">
        <f t="shared" si="101"/>
        <v>2.0222446916076846</v>
      </c>
      <c r="W343" s="7">
        <f t="shared" si="102"/>
        <v>738.11931243680488</v>
      </c>
      <c r="X343" s="7">
        <f t="shared" si="103"/>
        <v>0.92264914054600611</v>
      </c>
      <c r="AA343" s="8">
        <f t="shared" si="104"/>
        <v>44927</v>
      </c>
      <c r="AB343" s="8">
        <f t="shared" si="105"/>
        <v>45291</v>
      </c>
      <c r="AC343" s="1">
        <v>0</v>
      </c>
      <c r="AD343" s="1">
        <f t="shared" si="106"/>
        <v>0</v>
      </c>
      <c r="AE343" s="1">
        <f t="shared" si="107"/>
        <v>0</v>
      </c>
      <c r="AF343" s="1">
        <f t="shared" si="108"/>
        <v>0</v>
      </c>
      <c r="AG343" s="1">
        <f t="shared" si="109"/>
        <v>0</v>
      </c>
      <c r="AH343" s="1">
        <f t="shared" si="110"/>
        <v>182.5</v>
      </c>
      <c r="AI343" s="5">
        <f t="shared" si="111"/>
        <v>0.5</v>
      </c>
      <c r="AJ343" s="5">
        <f t="shared" si="112"/>
        <v>0.46132457027300305</v>
      </c>
      <c r="AK343" s="5">
        <f t="shared" si="113"/>
        <v>0</v>
      </c>
      <c r="AL343" s="5">
        <f t="shared" si="114"/>
        <v>0</v>
      </c>
      <c r="AM343" s="5">
        <f t="shared" si="115"/>
        <v>0</v>
      </c>
      <c r="AN343" s="5">
        <f t="shared" si="116"/>
        <v>0</v>
      </c>
      <c r="AO343" s="1" t="s">
        <v>102</v>
      </c>
    </row>
    <row r="344" spans="1:41" x14ac:dyDescent="0.25">
      <c r="A344" s="1" t="s">
        <v>19</v>
      </c>
      <c r="B344" s="1" t="s">
        <v>37</v>
      </c>
      <c r="C344" s="1" t="s">
        <v>21</v>
      </c>
      <c r="D344" s="1" t="s">
        <v>38</v>
      </c>
      <c r="E344" s="1" t="s">
        <v>96</v>
      </c>
      <c r="F344" s="1" t="s">
        <v>103</v>
      </c>
      <c r="G344" s="1" t="s">
        <v>114</v>
      </c>
      <c r="H344" s="1" t="s">
        <v>530</v>
      </c>
      <c r="I344" s="1" t="s">
        <v>336</v>
      </c>
      <c r="J344" s="1" t="s">
        <v>101</v>
      </c>
      <c r="K344" s="1" t="s">
        <v>175</v>
      </c>
      <c r="L344" s="1">
        <v>1339047</v>
      </c>
      <c r="M344" s="1" t="s">
        <v>531</v>
      </c>
      <c r="N344" s="8">
        <f>DATE(2012,9,10)</f>
        <v>41162</v>
      </c>
      <c r="O344" s="8">
        <f>DATE(2013,12,23)</f>
        <v>41631</v>
      </c>
      <c r="P344" s="1">
        <v>1490</v>
      </c>
      <c r="Q344" s="1">
        <v>800</v>
      </c>
      <c r="R344" s="1">
        <f t="shared" si="99"/>
        <v>800</v>
      </c>
      <c r="S344" s="1">
        <v>1</v>
      </c>
      <c r="U344" s="1">
        <f t="shared" si="100"/>
        <v>470</v>
      </c>
      <c r="V344" s="7">
        <f t="shared" si="101"/>
        <v>1.7021276595744681</v>
      </c>
      <c r="W344" s="7">
        <f t="shared" si="102"/>
        <v>621.27659574468089</v>
      </c>
      <c r="X344" s="7">
        <f t="shared" si="103"/>
        <v>0.77659574468085113</v>
      </c>
      <c r="AA344" s="8">
        <f t="shared" si="104"/>
        <v>44927</v>
      </c>
      <c r="AB344" s="8">
        <f t="shared" si="105"/>
        <v>45291</v>
      </c>
      <c r="AC344" s="1">
        <v>1</v>
      </c>
      <c r="AD344" s="1">
        <f t="shared" si="106"/>
        <v>0</v>
      </c>
      <c r="AE344" s="1">
        <f t="shared" si="107"/>
        <v>0</v>
      </c>
      <c r="AF344" s="1">
        <f t="shared" si="108"/>
        <v>0</v>
      </c>
      <c r="AG344" s="1">
        <f t="shared" si="109"/>
        <v>0</v>
      </c>
      <c r="AH344" s="1">
        <f t="shared" si="110"/>
        <v>182.5</v>
      </c>
      <c r="AI344" s="5">
        <f t="shared" si="111"/>
        <v>0.5</v>
      </c>
      <c r="AJ344" s="5">
        <f t="shared" si="112"/>
        <v>0.38829787234042556</v>
      </c>
      <c r="AK344" s="5">
        <f t="shared" si="113"/>
        <v>0</v>
      </c>
      <c r="AL344" s="5">
        <f t="shared" si="114"/>
        <v>0</v>
      </c>
      <c r="AM344" s="5">
        <f t="shared" si="115"/>
        <v>0</v>
      </c>
      <c r="AN344" s="5">
        <f t="shared" si="116"/>
        <v>0</v>
      </c>
      <c r="AO344" s="1" t="s">
        <v>102</v>
      </c>
    </row>
    <row r="345" spans="1:41" x14ac:dyDescent="0.25">
      <c r="A345" s="1" t="s">
        <v>19</v>
      </c>
      <c r="B345" s="1" t="s">
        <v>37</v>
      </c>
      <c r="C345" s="1" t="s">
        <v>21</v>
      </c>
      <c r="D345" s="1" t="s">
        <v>38</v>
      </c>
      <c r="E345" s="1" t="s">
        <v>96</v>
      </c>
      <c r="F345" s="1" t="s">
        <v>103</v>
      </c>
      <c r="G345" s="1" t="s">
        <v>127</v>
      </c>
      <c r="H345" s="1" t="s">
        <v>520</v>
      </c>
      <c r="I345" s="1" t="s">
        <v>210</v>
      </c>
      <c r="J345" s="1" t="s">
        <v>101</v>
      </c>
      <c r="L345" s="1">
        <v>1339167</v>
      </c>
      <c r="M345" s="1" t="s">
        <v>532</v>
      </c>
      <c r="N345" s="8">
        <f>DATE(2012,9,10)</f>
        <v>41162</v>
      </c>
      <c r="O345" s="8">
        <f>DATE(2015,12,23)</f>
        <v>42361</v>
      </c>
      <c r="P345" s="1">
        <v>2406</v>
      </c>
      <c r="Q345" s="1">
        <v>2400</v>
      </c>
      <c r="R345" s="1">
        <f t="shared" si="99"/>
        <v>2400</v>
      </c>
      <c r="S345" s="1">
        <v>2.5</v>
      </c>
      <c r="U345" s="1">
        <f t="shared" si="100"/>
        <v>1200</v>
      </c>
      <c r="V345" s="7">
        <f t="shared" si="101"/>
        <v>2</v>
      </c>
      <c r="W345" s="7">
        <f t="shared" si="102"/>
        <v>730</v>
      </c>
      <c r="X345" s="7">
        <f t="shared" si="103"/>
        <v>0.91249999999999998</v>
      </c>
      <c r="AA345" s="8">
        <f t="shared" si="104"/>
        <v>44927</v>
      </c>
      <c r="AB345" s="8">
        <f t="shared" si="105"/>
        <v>45291</v>
      </c>
      <c r="AC345" s="1">
        <v>0</v>
      </c>
      <c r="AD345" s="1">
        <f t="shared" si="106"/>
        <v>0</v>
      </c>
      <c r="AE345" s="1">
        <f t="shared" si="107"/>
        <v>0</v>
      </c>
      <c r="AF345" s="1">
        <f t="shared" si="108"/>
        <v>0</v>
      </c>
      <c r="AG345" s="1">
        <f t="shared" si="109"/>
        <v>0</v>
      </c>
      <c r="AH345" s="1">
        <f t="shared" si="110"/>
        <v>182.5</v>
      </c>
      <c r="AI345" s="5">
        <f t="shared" si="111"/>
        <v>0.5</v>
      </c>
      <c r="AJ345" s="5">
        <f t="shared" si="112"/>
        <v>0.45624999999999999</v>
      </c>
      <c r="AK345" s="5">
        <f t="shared" si="113"/>
        <v>0</v>
      </c>
      <c r="AL345" s="5">
        <f t="shared" si="114"/>
        <v>0</v>
      </c>
      <c r="AM345" s="5">
        <f t="shared" si="115"/>
        <v>0</v>
      </c>
      <c r="AN345" s="5">
        <f t="shared" si="116"/>
        <v>0</v>
      </c>
      <c r="AO345" s="1" t="s">
        <v>102</v>
      </c>
    </row>
    <row r="346" spans="1:41" x14ac:dyDescent="0.25">
      <c r="A346" s="1" t="s">
        <v>19</v>
      </c>
      <c r="B346" s="1" t="s">
        <v>37</v>
      </c>
      <c r="C346" s="1" t="s">
        <v>21</v>
      </c>
      <c r="D346" s="1" t="s">
        <v>38</v>
      </c>
      <c r="E346" s="1" t="s">
        <v>96</v>
      </c>
      <c r="F346" s="1" t="s">
        <v>103</v>
      </c>
      <c r="G346" s="1" t="s">
        <v>127</v>
      </c>
      <c r="H346" s="1" t="s">
        <v>518</v>
      </c>
      <c r="I346" s="1" t="s">
        <v>162</v>
      </c>
      <c r="J346" s="1" t="s">
        <v>101</v>
      </c>
      <c r="L346" s="1">
        <v>1345301</v>
      </c>
      <c r="M346" s="1" t="s">
        <v>533</v>
      </c>
      <c r="N346" s="8">
        <f>DATE(2012,9,10)</f>
        <v>41162</v>
      </c>
      <c r="O346" s="8">
        <f>DATE(2015,8,7)</f>
        <v>42223</v>
      </c>
      <c r="P346" s="1">
        <v>2210</v>
      </c>
      <c r="Q346" s="1">
        <v>2000</v>
      </c>
      <c r="R346" s="1">
        <f t="shared" si="99"/>
        <v>2000</v>
      </c>
      <c r="S346" s="1">
        <v>1.5</v>
      </c>
      <c r="U346" s="1">
        <f t="shared" si="100"/>
        <v>1062</v>
      </c>
      <c r="V346" s="7">
        <f t="shared" si="101"/>
        <v>1.8832391713747645</v>
      </c>
      <c r="W346" s="7">
        <f t="shared" si="102"/>
        <v>687.38229755178907</v>
      </c>
      <c r="X346" s="7">
        <f t="shared" si="103"/>
        <v>0.85922787193973638</v>
      </c>
      <c r="AA346" s="8">
        <f t="shared" si="104"/>
        <v>44927</v>
      </c>
      <c r="AB346" s="8">
        <f t="shared" si="105"/>
        <v>45291</v>
      </c>
      <c r="AC346" s="1">
        <v>2</v>
      </c>
      <c r="AD346" s="1">
        <f t="shared" si="106"/>
        <v>0</v>
      </c>
      <c r="AE346" s="1">
        <f t="shared" si="107"/>
        <v>0</v>
      </c>
      <c r="AF346" s="1">
        <f t="shared" si="108"/>
        <v>0</v>
      </c>
      <c r="AG346" s="1">
        <f t="shared" si="109"/>
        <v>0</v>
      </c>
      <c r="AH346" s="1">
        <f t="shared" si="110"/>
        <v>182.5</v>
      </c>
      <c r="AI346" s="5">
        <f t="shared" si="111"/>
        <v>0.5</v>
      </c>
      <c r="AJ346" s="5">
        <f t="shared" si="112"/>
        <v>0.42961393596986819</v>
      </c>
      <c r="AK346" s="5">
        <f t="shared" si="113"/>
        <v>0</v>
      </c>
      <c r="AL346" s="5">
        <f t="shared" si="114"/>
        <v>0</v>
      </c>
      <c r="AM346" s="5">
        <f t="shared" si="115"/>
        <v>0</v>
      </c>
      <c r="AN346" s="5">
        <f t="shared" si="116"/>
        <v>0</v>
      </c>
      <c r="AO346" s="1" t="s">
        <v>102</v>
      </c>
    </row>
    <row r="347" spans="1:41" x14ac:dyDescent="0.25">
      <c r="A347" s="1" t="s">
        <v>19</v>
      </c>
      <c r="B347" s="1" t="s">
        <v>37</v>
      </c>
      <c r="C347" s="1" t="s">
        <v>21</v>
      </c>
      <c r="D347" s="1" t="s">
        <v>38</v>
      </c>
      <c r="E347" s="1" t="s">
        <v>172</v>
      </c>
      <c r="F347" s="1" t="s">
        <v>534</v>
      </c>
      <c r="G347" s="1" t="s">
        <v>127</v>
      </c>
      <c r="H347" s="1" t="s">
        <v>528</v>
      </c>
      <c r="I347" s="1" t="s">
        <v>162</v>
      </c>
      <c r="J347" s="1" t="s">
        <v>101</v>
      </c>
      <c r="L347" s="1">
        <v>1359280</v>
      </c>
      <c r="M347" s="1" t="s">
        <v>535</v>
      </c>
      <c r="N347" s="8">
        <f>DATE(2012,10,15)</f>
        <v>41197</v>
      </c>
      <c r="O347" s="8">
        <f>DATE(2015,8,14)</f>
        <v>42230</v>
      </c>
      <c r="P347" s="1">
        <v>2280</v>
      </c>
      <c r="Q347" s="1">
        <v>2000</v>
      </c>
      <c r="R347" s="1">
        <f t="shared" si="99"/>
        <v>2000</v>
      </c>
      <c r="S347" s="1">
        <v>1</v>
      </c>
      <c r="U347" s="1">
        <f t="shared" si="100"/>
        <v>1034</v>
      </c>
      <c r="V347" s="7">
        <f t="shared" si="101"/>
        <v>1.9342359767891684</v>
      </c>
      <c r="W347" s="7">
        <f t="shared" si="102"/>
        <v>705.99613152804648</v>
      </c>
      <c r="X347" s="7">
        <f t="shared" si="103"/>
        <v>0.88249516441005804</v>
      </c>
      <c r="AA347" s="8">
        <f t="shared" si="104"/>
        <v>44927</v>
      </c>
      <c r="AB347" s="8">
        <f t="shared" si="105"/>
        <v>45291</v>
      </c>
      <c r="AC347" s="1">
        <v>1</v>
      </c>
      <c r="AD347" s="1">
        <f t="shared" si="106"/>
        <v>0</v>
      </c>
      <c r="AE347" s="1">
        <f t="shared" si="107"/>
        <v>0</v>
      </c>
      <c r="AF347" s="1">
        <f t="shared" si="108"/>
        <v>0</v>
      </c>
      <c r="AG347" s="1">
        <f t="shared" si="109"/>
        <v>0</v>
      </c>
      <c r="AH347" s="1">
        <f t="shared" si="110"/>
        <v>182.5</v>
      </c>
      <c r="AI347" s="5">
        <f t="shared" si="111"/>
        <v>0.5</v>
      </c>
      <c r="AJ347" s="5">
        <f t="shared" si="112"/>
        <v>0.44124758220502902</v>
      </c>
      <c r="AK347" s="5">
        <f t="shared" si="113"/>
        <v>0</v>
      </c>
      <c r="AL347" s="5">
        <f t="shared" si="114"/>
        <v>0</v>
      </c>
      <c r="AM347" s="5">
        <f t="shared" si="115"/>
        <v>0</v>
      </c>
      <c r="AN347" s="5">
        <f t="shared" si="116"/>
        <v>0</v>
      </c>
      <c r="AO347" s="1" t="s">
        <v>111</v>
      </c>
    </row>
    <row r="348" spans="1:41" x14ac:dyDescent="0.25">
      <c r="A348" s="1" t="s">
        <v>19</v>
      </c>
      <c r="B348" s="1" t="s">
        <v>37</v>
      </c>
      <c r="C348" s="1" t="s">
        <v>21</v>
      </c>
      <c r="D348" s="1" t="s">
        <v>38</v>
      </c>
      <c r="E348" s="1" t="s">
        <v>96</v>
      </c>
      <c r="F348" s="1" t="s">
        <v>103</v>
      </c>
      <c r="G348" s="1" t="s">
        <v>114</v>
      </c>
      <c r="H348" s="1" t="s">
        <v>260</v>
      </c>
      <c r="I348" s="1" t="s">
        <v>100</v>
      </c>
      <c r="J348" s="1" t="s">
        <v>101</v>
      </c>
      <c r="K348" s="1" t="s">
        <v>175</v>
      </c>
      <c r="L348" s="1">
        <v>1779974</v>
      </c>
      <c r="M348" s="1" t="s">
        <v>536</v>
      </c>
      <c r="N348" s="8">
        <f>DATE(2013,5,23)</f>
        <v>41417</v>
      </c>
      <c r="O348" s="8">
        <f>DATE(2014,7,31)</f>
        <v>41851</v>
      </c>
      <c r="P348" s="1">
        <v>990</v>
      </c>
      <c r="Q348" s="1">
        <v>800</v>
      </c>
      <c r="R348" s="1">
        <f t="shared" si="99"/>
        <v>800</v>
      </c>
      <c r="S348" s="1">
        <v>1</v>
      </c>
      <c r="U348" s="1">
        <f t="shared" si="100"/>
        <v>435</v>
      </c>
      <c r="V348" s="7">
        <f t="shared" si="101"/>
        <v>1.8390804597701149</v>
      </c>
      <c r="W348" s="7">
        <f t="shared" si="102"/>
        <v>671.26436781609198</v>
      </c>
      <c r="X348" s="7">
        <f t="shared" si="103"/>
        <v>0.83908045977011492</v>
      </c>
      <c r="AA348" s="8">
        <f t="shared" si="104"/>
        <v>44927</v>
      </c>
      <c r="AB348" s="8">
        <f t="shared" si="105"/>
        <v>45291</v>
      </c>
      <c r="AC348" s="1">
        <v>2</v>
      </c>
      <c r="AD348" s="1">
        <f t="shared" si="106"/>
        <v>0</v>
      </c>
      <c r="AE348" s="1">
        <f t="shared" si="107"/>
        <v>0</v>
      </c>
      <c r="AF348" s="1">
        <f t="shared" si="108"/>
        <v>0</v>
      </c>
      <c r="AG348" s="1">
        <f t="shared" si="109"/>
        <v>0</v>
      </c>
      <c r="AH348" s="1">
        <f t="shared" si="110"/>
        <v>182.5</v>
      </c>
      <c r="AI348" s="5">
        <f t="shared" si="111"/>
        <v>0.5</v>
      </c>
      <c r="AJ348" s="5">
        <f t="shared" si="112"/>
        <v>0.41954022988505746</v>
      </c>
      <c r="AK348" s="5">
        <f t="shared" si="113"/>
        <v>0</v>
      </c>
      <c r="AL348" s="5">
        <f t="shared" si="114"/>
        <v>0</v>
      </c>
      <c r="AM348" s="5">
        <f t="shared" si="115"/>
        <v>0</v>
      </c>
      <c r="AN348" s="5">
        <f t="shared" si="116"/>
        <v>0</v>
      </c>
      <c r="AO348" s="1" t="s">
        <v>102</v>
      </c>
    </row>
    <row r="349" spans="1:41" x14ac:dyDescent="0.25">
      <c r="A349" s="1" t="s">
        <v>19</v>
      </c>
      <c r="B349" s="1" t="s">
        <v>37</v>
      </c>
      <c r="C349" s="1" t="s">
        <v>21</v>
      </c>
      <c r="D349" s="1" t="s">
        <v>38</v>
      </c>
      <c r="E349" s="1" t="s">
        <v>96</v>
      </c>
      <c r="F349" s="1" t="s">
        <v>103</v>
      </c>
      <c r="G349" s="1" t="s">
        <v>98</v>
      </c>
      <c r="H349" s="1" t="s">
        <v>537</v>
      </c>
      <c r="I349" s="1" t="s">
        <v>162</v>
      </c>
      <c r="J349" s="1" t="s">
        <v>101</v>
      </c>
      <c r="L349" s="1">
        <v>1780147</v>
      </c>
      <c r="M349" s="1" t="s">
        <v>538</v>
      </c>
      <c r="N349" s="8">
        <f>DATE(2013,5,23)</f>
        <v>41417</v>
      </c>
      <c r="O349" s="8">
        <f>DATE(2017,12,22)</f>
        <v>43091</v>
      </c>
      <c r="P349" s="1">
        <v>4475</v>
      </c>
      <c r="Q349" s="1">
        <v>3200</v>
      </c>
      <c r="R349" s="1">
        <f t="shared" si="99"/>
        <v>3200</v>
      </c>
      <c r="S349" s="1">
        <v>2.5</v>
      </c>
      <c r="U349" s="1">
        <f t="shared" si="100"/>
        <v>1675</v>
      </c>
      <c r="V349" s="7">
        <f t="shared" si="101"/>
        <v>1.9104477611940298</v>
      </c>
      <c r="W349" s="7">
        <f t="shared" si="102"/>
        <v>697.31343283582089</v>
      </c>
      <c r="X349" s="7">
        <f t="shared" si="103"/>
        <v>0.87164179104477613</v>
      </c>
      <c r="AA349" s="8">
        <f t="shared" si="104"/>
        <v>44927</v>
      </c>
      <c r="AB349" s="8">
        <f t="shared" si="105"/>
        <v>45291</v>
      </c>
      <c r="AC349" s="1">
        <v>0</v>
      </c>
      <c r="AD349" s="1">
        <f t="shared" si="106"/>
        <v>0</v>
      </c>
      <c r="AE349" s="1">
        <f t="shared" si="107"/>
        <v>0</v>
      </c>
      <c r="AF349" s="1">
        <f t="shared" si="108"/>
        <v>0</v>
      </c>
      <c r="AG349" s="1">
        <f t="shared" si="109"/>
        <v>0</v>
      </c>
      <c r="AH349" s="1">
        <f t="shared" si="110"/>
        <v>182.5</v>
      </c>
      <c r="AI349" s="5">
        <f t="shared" si="111"/>
        <v>0.5</v>
      </c>
      <c r="AJ349" s="5">
        <f t="shared" si="112"/>
        <v>0.43582089552238806</v>
      </c>
      <c r="AK349" s="5">
        <f t="shared" si="113"/>
        <v>0</v>
      </c>
      <c r="AL349" s="5">
        <f t="shared" si="114"/>
        <v>0</v>
      </c>
      <c r="AM349" s="5">
        <f t="shared" si="115"/>
        <v>0</v>
      </c>
      <c r="AN349" s="5">
        <f t="shared" si="116"/>
        <v>0</v>
      </c>
      <c r="AO349" s="1" t="s">
        <v>102</v>
      </c>
    </row>
    <row r="350" spans="1:41" x14ac:dyDescent="0.25">
      <c r="A350" s="1" t="s">
        <v>19</v>
      </c>
      <c r="B350" s="1" t="s">
        <v>37</v>
      </c>
      <c r="C350" s="1" t="s">
        <v>21</v>
      </c>
      <c r="D350" s="1" t="s">
        <v>38</v>
      </c>
      <c r="E350" s="1" t="s">
        <v>96</v>
      </c>
      <c r="F350" s="1" t="s">
        <v>103</v>
      </c>
      <c r="G350" s="1" t="s">
        <v>127</v>
      </c>
      <c r="H350" s="1" t="s">
        <v>528</v>
      </c>
      <c r="I350" s="1" t="s">
        <v>162</v>
      </c>
      <c r="J350" s="1" t="s">
        <v>101</v>
      </c>
      <c r="L350" s="1">
        <v>1780166</v>
      </c>
      <c r="M350" s="1" t="s">
        <v>539</v>
      </c>
      <c r="N350" s="8">
        <f>DATE(2013,5,23)</f>
        <v>41417</v>
      </c>
      <c r="O350" s="8">
        <f>DATE(2015,12,23)</f>
        <v>42361</v>
      </c>
      <c r="P350" s="1">
        <v>2280</v>
      </c>
      <c r="Q350" s="1">
        <v>2000</v>
      </c>
      <c r="R350" s="1">
        <f t="shared" si="99"/>
        <v>2000</v>
      </c>
      <c r="S350" s="1">
        <v>1</v>
      </c>
      <c r="U350" s="1">
        <f t="shared" si="100"/>
        <v>945</v>
      </c>
      <c r="V350" s="7">
        <f t="shared" si="101"/>
        <v>2.1164021164021163</v>
      </c>
      <c r="W350" s="7">
        <f t="shared" si="102"/>
        <v>772.48677248677245</v>
      </c>
      <c r="X350" s="7">
        <f t="shared" si="103"/>
        <v>0.96560846560846558</v>
      </c>
      <c r="AA350" s="8">
        <f t="shared" si="104"/>
        <v>44927</v>
      </c>
      <c r="AB350" s="8">
        <f t="shared" si="105"/>
        <v>45291</v>
      </c>
      <c r="AC350" s="1">
        <v>1</v>
      </c>
      <c r="AD350" s="1">
        <f t="shared" si="106"/>
        <v>0</v>
      </c>
      <c r="AE350" s="1">
        <f t="shared" si="107"/>
        <v>0</v>
      </c>
      <c r="AF350" s="1">
        <f t="shared" si="108"/>
        <v>0</v>
      </c>
      <c r="AG350" s="1">
        <f t="shared" si="109"/>
        <v>0</v>
      </c>
      <c r="AH350" s="1">
        <f t="shared" si="110"/>
        <v>182.5</v>
      </c>
      <c r="AI350" s="5">
        <f t="shared" si="111"/>
        <v>0.5</v>
      </c>
      <c r="AJ350" s="5">
        <f t="shared" si="112"/>
        <v>0.48280423280423279</v>
      </c>
      <c r="AK350" s="5">
        <f t="shared" si="113"/>
        <v>0</v>
      </c>
      <c r="AL350" s="5">
        <f t="shared" si="114"/>
        <v>0</v>
      </c>
      <c r="AM350" s="5">
        <f t="shared" si="115"/>
        <v>0</v>
      </c>
      <c r="AN350" s="5">
        <f t="shared" si="116"/>
        <v>0</v>
      </c>
      <c r="AO350" s="1" t="s">
        <v>102</v>
      </c>
    </row>
    <row r="351" spans="1:41" x14ac:dyDescent="0.25">
      <c r="A351" s="1" t="s">
        <v>19</v>
      </c>
      <c r="B351" s="1" t="s">
        <v>37</v>
      </c>
      <c r="C351" s="1" t="s">
        <v>21</v>
      </c>
      <c r="D351" s="1" t="s">
        <v>38</v>
      </c>
      <c r="E351" s="1" t="s">
        <v>96</v>
      </c>
      <c r="F351" s="1" t="s">
        <v>103</v>
      </c>
      <c r="G351" s="1" t="s">
        <v>98</v>
      </c>
      <c r="H351" s="1" t="s">
        <v>523</v>
      </c>
      <c r="I351" s="1" t="s">
        <v>100</v>
      </c>
      <c r="J351" s="1" t="s">
        <v>101</v>
      </c>
      <c r="L351" s="1">
        <v>1842005</v>
      </c>
      <c r="M351" s="1" t="s">
        <v>540</v>
      </c>
      <c r="N351" s="8">
        <f>DATE(2013,10,1)</f>
        <v>41548</v>
      </c>
      <c r="O351" s="8">
        <f>DATE(2017,12,21)</f>
        <v>43090</v>
      </c>
      <c r="P351" s="1">
        <v>2593</v>
      </c>
      <c r="Q351" s="1">
        <v>2400</v>
      </c>
      <c r="R351" s="1">
        <f t="shared" si="99"/>
        <v>2400</v>
      </c>
      <c r="S351" s="1">
        <v>1</v>
      </c>
      <c r="U351" s="1">
        <f t="shared" si="100"/>
        <v>1543</v>
      </c>
      <c r="V351" s="7">
        <f t="shared" si="101"/>
        <v>1.5554115359688918</v>
      </c>
      <c r="W351" s="7">
        <f t="shared" si="102"/>
        <v>567.72521062864553</v>
      </c>
      <c r="X351" s="7">
        <f t="shared" si="103"/>
        <v>0.70965651328580692</v>
      </c>
      <c r="AA351" s="8">
        <f t="shared" si="104"/>
        <v>44927</v>
      </c>
      <c r="AB351" s="8">
        <f t="shared" si="105"/>
        <v>45291</v>
      </c>
      <c r="AC351" s="1">
        <v>1</v>
      </c>
      <c r="AD351" s="1">
        <f t="shared" si="106"/>
        <v>0</v>
      </c>
      <c r="AE351" s="1">
        <f t="shared" si="107"/>
        <v>0</v>
      </c>
      <c r="AF351" s="1">
        <f t="shared" si="108"/>
        <v>0</v>
      </c>
      <c r="AG351" s="1">
        <f t="shared" si="109"/>
        <v>0</v>
      </c>
      <c r="AH351" s="1">
        <f t="shared" si="110"/>
        <v>182.5</v>
      </c>
      <c r="AI351" s="5">
        <f t="shared" si="111"/>
        <v>0.5</v>
      </c>
      <c r="AJ351" s="5">
        <f t="shared" si="112"/>
        <v>0.35482825664290346</v>
      </c>
      <c r="AK351" s="5">
        <f t="shared" si="113"/>
        <v>0</v>
      </c>
      <c r="AL351" s="5">
        <f t="shared" si="114"/>
        <v>0</v>
      </c>
      <c r="AM351" s="5">
        <f t="shared" si="115"/>
        <v>0</v>
      </c>
      <c r="AN351" s="5">
        <f t="shared" si="116"/>
        <v>0</v>
      </c>
      <c r="AO351" s="1" t="s">
        <v>102</v>
      </c>
    </row>
    <row r="352" spans="1:41" x14ac:dyDescent="0.25">
      <c r="A352" s="1" t="s">
        <v>19</v>
      </c>
      <c r="B352" s="1" t="s">
        <v>37</v>
      </c>
      <c r="C352" s="1" t="s">
        <v>21</v>
      </c>
      <c r="D352" s="1" t="s">
        <v>38</v>
      </c>
      <c r="E352" s="1" t="s">
        <v>96</v>
      </c>
      <c r="F352" s="1" t="s">
        <v>103</v>
      </c>
      <c r="G352" s="1" t="s">
        <v>98</v>
      </c>
      <c r="H352" s="1" t="s">
        <v>537</v>
      </c>
      <c r="I352" s="1" t="s">
        <v>162</v>
      </c>
      <c r="J352" s="1" t="s">
        <v>101</v>
      </c>
      <c r="L352" s="1">
        <v>1842008</v>
      </c>
      <c r="M352" s="1" t="s">
        <v>541</v>
      </c>
      <c r="N352" s="8">
        <f>DATE(2013,10,1)</f>
        <v>41548</v>
      </c>
      <c r="O352" s="8">
        <f>DATE(2018,7,30)</f>
        <v>43311</v>
      </c>
      <c r="P352" s="1">
        <v>4475</v>
      </c>
      <c r="Q352" s="1">
        <v>3200</v>
      </c>
      <c r="R352" s="1">
        <f t="shared" si="99"/>
        <v>3200</v>
      </c>
      <c r="S352" s="1">
        <v>2.5</v>
      </c>
      <c r="U352" s="1">
        <f t="shared" si="100"/>
        <v>1764</v>
      </c>
      <c r="V352" s="7">
        <f t="shared" si="101"/>
        <v>1.8140589569160999</v>
      </c>
      <c r="W352" s="7">
        <f t="shared" si="102"/>
        <v>662.1315192743765</v>
      </c>
      <c r="X352" s="7">
        <f t="shared" si="103"/>
        <v>0.82766439909297063</v>
      </c>
      <c r="AA352" s="8">
        <f t="shared" si="104"/>
        <v>44927</v>
      </c>
      <c r="AB352" s="8">
        <f t="shared" si="105"/>
        <v>45291</v>
      </c>
      <c r="AC352" s="1">
        <v>1</v>
      </c>
      <c r="AD352" s="1">
        <f t="shared" si="106"/>
        <v>0</v>
      </c>
      <c r="AE352" s="1">
        <f t="shared" si="107"/>
        <v>0</v>
      </c>
      <c r="AF352" s="1">
        <f t="shared" si="108"/>
        <v>0</v>
      </c>
      <c r="AG352" s="1">
        <f t="shared" si="109"/>
        <v>0</v>
      </c>
      <c r="AH352" s="1">
        <f t="shared" si="110"/>
        <v>182.5</v>
      </c>
      <c r="AI352" s="5">
        <f t="shared" si="111"/>
        <v>0.5</v>
      </c>
      <c r="AJ352" s="5">
        <f t="shared" si="112"/>
        <v>0.41383219954648531</v>
      </c>
      <c r="AK352" s="5">
        <f t="shared" si="113"/>
        <v>0</v>
      </c>
      <c r="AL352" s="5">
        <f t="shared" si="114"/>
        <v>0</v>
      </c>
      <c r="AM352" s="5">
        <f t="shared" si="115"/>
        <v>0</v>
      </c>
      <c r="AN352" s="5">
        <f t="shared" si="116"/>
        <v>0</v>
      </c>
      <c r="AO352" s="1" t="s">
        <v>102</v>
      </c>
    </row>
    <row r="353" spans="1:41" x14ac:dyDescent="0.25">
      <c r="A353" s="1" t="s">
        <v>19</v>
      </c>
      <c r="B353" s="1" t="s">
        <v>37</v>
      </c>
      <c r="C353" s="1" t="s">
        <v>21</v>
      </c>
      <c r="D353" s="1" t="s">
        <v>38</v>
      </c>
      <c r="E353" s="1" t="s">
        <v>96</v>
      </c>
      <c r="F353" s="1" t="s">
        <v>103</v>
      </c>
      <c r="G353" s="1" t="s">
        <v>98</v>
      </c>
      <c r="H353" s="1" t="s">
        <v>542</v>
      </c>
      <c r="I353" s="1" t="s">
        <v>210</v>
      </c>
      <c r="J353" s="1" t="s">
        <v>101</v>
      </c>
      <c r="L353" s="1">
        <v>1842016</v>
      </c>
      <c r="M353" s="1" t="s">
        <v>543</v>
      </c>
      <c r="N353" s="8">
        <f>DATE(2013,10,1)</f>
        <v>41548</v>
      </c>
      <c r="O353" s="8">
        <f>DATE(2018,7,30)</f>
        <v>43311</v>
      </c>
      <c r="P353" s="1">
        <v>4790</v>
      </c>
      <c r="Q353" s="1">
        <v>3600</v>
      </c>
      <c r="R353" s="1">
        <f t="shared" si="99"/>
        <v>3600</v>
      </c>
      <c r="S353" s="1">
        <v>2.5</v>
      </c>
      <c r="U353" s="1">
        <f t="shared" si="100"/>
        <v>1764</v>
      </c>
      <c r="V353" s="7">
        <f t="shared" si="101"/>
        <v>2.0408163265306123</v>
      </c>
      <c r="W353" s="7">
        <f t="shared" si="102"/>
        <v>744.89795918367349</v>
      </c>
      <c r="X353" s="7">
        <f t="shared" si="103"/>
        <v>0.93112244897959184</v>
      </c>
      <c r="AA353" s="8">
        <f t="shared" si="104"/>
        <v>44927</v>
      </c>
      <c r="AB353" s="8">
        <f t="shared" si="105"/>
        <v>45291</v>
      </c>
      <c r="AC353" s="1">
        <v>1</v>
      </c>
      <c r="AD353" s="1">
        <f t="shared" si="106"/>
        <v>0</v>
      </c>
      <c r="AE353" s="1">
        <f t="shared" si="107"/>
        <v>0</v>
      </c>
      <c r="AF353" s="1">
        <f t="shared" si="108"/>
        <v>0</v>
      </c>
      <c r="AG353" s="1">
        <f t="shared" si="109"/>
        <v>0</v>
      </c>
      <c r="AH353" s="1">
        <f t="shared" si="110"/>
        <v>182.5</v>
      </c>
      <c r="AI353" s="5">
        <f t="shared" si="111"/>
        <v>0.5</v>
      </c>
      <c r="AJ353" s="5">
        <f t="shared" si="112"/>
        <v>0.46556122448979592</v>
      </c>
      <c r="AK353" s="5">
        <f t="shared" si="113"/>
        <v>0</v>
      </c>
      <c r="AL353" s="5">
        <f t="shared" si="114"/>
        <v>0</v>
      </c>
      <c r="AM353" s="5">
        <f t="shared" si="115"/>
        <v>0</v>
      </c>
      <c r="AN353" s="5">
        <f t="shared" si="116"/>
        <v>0</v>
      </c>
      <c r="AO353" s="1" t="s">
        <v>102</v>
      </c>
    </row>
    <row r="354" spans="1:41" x14ac:dyDescent="0.25">
      <c r="A354" s="1" t="s">
        <v>19</v>
      </c>
      <c r="B354" s="1" t="s">
        <v>37</v>
      </c>
      <c r="C354" s="1" t="s">
        <v>21</v>
      </c>
      <c r="D354" s="1" t="s">
        <v>38</v>
      </c>
      <c r="E354" s="1" t="s">
        <v>96</v>
      </c>
      <c r="F354" s="1" t="s">
        <v>103</v>
      </c>
      <c r="G354" s="1" t="s">
        <v>127</v>
      </c>
      <c r="H354" s="1" t="s">
        <v>520</v>
      </c>
      <c r="I354" s="1" t="s">
        <v>210</v>
      </c>
      <c r="J354" s="1" t="s">
        <v>101</v>
      </c>
      <c r="L354" s="1">
        <v>1842023</v>
      </c>
      <c r="M354" s="1" t="s">
        <v>544</v>
      </c>
      <c r="N354" s="8">
        <f>DATE(2013,10,1)</f>
        <v>41548</v>
      </c>
      <c r="O354" s="8">
        <f>DATE(2016,12,23)</f>
        <v>42727</v>
      </c>
      <c r="P354" s="1">
        <v>2406</v>
      </c>
      <c r="Q354" s="1">
        <v>2400</v>
      </c>
      <c r="R354" s="1">
        <f t="shared" si="99"/>
        <v>2400</v>
      </c>
      <c r="S354" s="1">
        <v>2.5</v>
      </c>
      <c r="U354" s="1">
        <f t="shared" si="100"/>
        <v>1180</v>
      </c>
      <c r="V354" s="7">
        <f t="shared" si="101"/>
        <v>2.0338983050847457</v>
      </c>
      <c r="W354" s="7">
        <f t="shared" si="102"/>
        <v>742.37288135593212</v>
      </c>
      <c r="X354" s="7">
        <f t="shared" si="103"/>
        <v>0.92796610169491511</v>
      </c>
      <c r="AA354" s="8">
        <f t="shared" si="104"/>
        <v>44927</v>
      </c>
      <c r="AB354" s="8">
        <f t="shared" si="105"/>
        <v>45291</v>
      </c>
      <c r="AC354" s="1">
        <v>0</v>
      </c>
      <c r="AD354" s="1">
        <f t="shared" si="106"/>
        <v>0</v>
      </c>
      <c r="AE354" s="1">
        <f t="shared" si="107"/>
        <v>0</v>
      </c>
      <c r="AF354" s="1">
        <f t="shared" si="108"/>
        <v>0</v>
      </c>
      <c r="AG354" s="1">
        <f t="shared" si="109"/>
        <v>0</v>
      </c>
      <c r="AH354" s="1">
        <f t="shared" si="110"/>
        <v>182.5</v>
      </c>
      <c r="AI354" s="5">
        <f t="shared" si="111"/>
        <v>0.5</v>
      </c>
      <c r="AJ354" s="5">
        <f t="shared" si="112"/>
        <v>0.46398305084745756</v>
      </c>
      <c r="AK354" s="5">
        <f t="shared" si="113"/>
        <v>0</v>
      </c>
      <c r="AL354" s="5">
        <f t="shared" si="114"/>
        <v>0</v>
      </c>
      <c r="AM354" s="5">
        <f t="shared" si="115"/>
        <v>0</v>
      </c>
      <c r="AN354" s="5">
        <f t="shared" si="116"/>
        <v>0</v>
      </c>
      <c r="AO354" s="1" t="s">
        <v>102</v>
      </c>
    </row>
    <row r="355" spans="1:41" x14ac:dyDescent="0.25">
      <c r="A355" s="1" t="s">
        <v>19</v>
      </c>
      <c r="B355" s="1" t="s">
        <v>37</v>
      </c>
      <c r="C355" s="1" t="s">
        <v>21</v>
      </c>
      <c r="D355" s="1" t="s">
        <v>38</v>
      </c>
      <c r="E355" s="1" t="s">
        <v>96</v>
      </c>
      <c r="F355" s="1" t="s">
        <v>103</v>
      </c>
      <c r="G355" s="1" t="s">
        <v>127</v>
      </c>
      <c r="H355" s="1" t="s">
        <v>518</v>
      </c>
      <c r="I355" s="1" t="s">
        <v>162</v>
      </c>
      <c r="J355" s="1" t="s">
        <v>101</v>
      </c>
      <c r="L355" s="1">
        <v>1842030</v>
      </c>
      <c r="M355" s="1" t="s">
        <v>545</v>
      </c>
      <c r="N355" s="8">
        <f>DATE(2013,10,1)</f>
        <v>41548</v>
      </c>
      <c r="O355" s="8">
        <f>DATE(2016,7,29)</f>
        <v>42580</v>
      </c>
      <c r="P355" s="1">
        <v>2246</v>
      </c>
      <c r="Q355" s="1">
        <v>2000</v>
      </c>
      <c r="R355" s="1">
        <f t="shared" si="99"/>
        <v>2000</v>
      </c>
      <c r="S355" s="1">
        <v>1.5</v>
      </c>
      <c r="U355" s="1">
        <f t="shared" si="100"/>
        <v>1033</v>
      </c>
      <c r="V355" s="7">
        <f t="shared" si="101"/>
        <v>1.936108422071636</v>
      </c>
      <c r="W355" s="7">
        <f t="shared" si="102"/>
        <v>706.6795740561472</v>
      </c>
      <c r="X355" s="7">
        <f t="shared" si="103"/>
        <v>0.88334946757018395</v>
      </c>
      <c r="AA355" s="8">
        <f t="shared" si="104"/>
        <v>44927</v>
      </c>
      <c r="AB355" s="8">
        <f t="shared" si="105"/>
        <v>45291</v>
      </c>
      <c r="AC355" s="1">
        <v>1</v>
      </c>
      <c r="AD355" s="1">
        <f t="shared" si="106"/>
        <v>0</v>
      </c>
      <c r="AE355" s="1">
        <f t="shared" si="107"/>
        <v>0</v>
      </c>
      <c r="AF355" s="1">
        <f t="shared" si="108"/>
        <v>0</v>
      </c>
      <c r="AG355" s="1">
        <f t="shared" si="109"/>
        <v>0</v>
      </c>
      <c r="AH355" s="1">
        <f t="shared" si="110"/>
        <v>182.5</v>
      </c>
      <c r="AI355" s="5">
        <f t="shared" si="111"/>
        <v>0.5</v>
      </c>
      <c r="AJ355" s="5">
        <f t="shared" si="112"/>
        <v>0.44167473378509198</v>
      </c>
      <c r="AK355" s="5">
        <f t="shared" si="113"/>
        <v>0</v>
      </c>
      <c r="AL355" s="5">
        <f t="shared" si="114"/>
        <v>0</v>
      </c>
      <c r="AM355" s="5">
        <f t="shared" si="115"/>
        <v>0</v>
      </c>
      <c r="AN355" s="5">
        <f t="shared" si="116"/>
        <v>0</v>
      </c>
      <c r="AO355" s="1" t="s">
        <v>102</v>
      </c>
    </row>
    <row r="356" spans="1:41" x14ac:dyDescent="0.25">
      <c r="A356" s="1" t="s">
        <v>19</v>
      </c>
      <c r="B356" s="1" t="s">
        <v>37</v>
      </c>
      <c r="C356" s="1" t="s">
        <v>21</v>
      </c>
      <c r="D356" s="1" t="s">
        <v>38</v>
      </c>
      <c r="E356" s="1" t="s">
        <v>172</v>
      </c>
      <c r="F356" s="1" t="s">
        <v>534</v>
      </c>
      <c r="G356" s="1" t="s">
        <v>127</v>
      </c>
      <c r="H356" s="1" t="s">
        <v>528</v>
      </c>
      <c r="I356" s="1" t="s">
        <v>162</v>
      </c>
      <c r="J356" s="1" t="s">
        <v>101</v>
      </c>
      <c r="L356" s="1">
        <v>1950304</v>
      </c>
      <c r="M356" s="1" t="s">
        <v>546</v>
      </c>
      <c r="N356" s="8">
        <f>DATE(2013,12,1)</f>
        <v>41609</v>
      </c>
      <c r="O356" s="8">
        <f>DATE(2016,12,23)</f>
        <v>42727</v>
      </c>
      <c r="P356" s="1">
        <v>2340</v>
      </c>
      <c r="Q356" s="1">
        <v>2000</v>
      </c>
      <c r="R356" s="1">
        <f t="shared" si="99"/>
        <v>2000</v>
      </c>
      <c r="S356" s="1">
        <v>1</v>
      </c>
      <c r="U356" s="1">
        <f t="shared" si="100"/>
        <v>1119</v>
      </c>
      <c r="V356" s="7">
        <f t="shared" si="101"/>
        <v>1.7873100983020553</v>
      </c>
      <c r="W356" s="7">
        <f t="shared" si="102"/>
        <v>652.36818588025017</v>
      </c>
      <c r="X356" s="7">
        <f t="shared" si="103"/>
        <v>0.81546023235031273</v>
      </c>
      <c r="AA356" s="8">
        <f t="shared" si="104"/>
        <v>44927</v>
      </c>
      <c r="AB356" s="8">
        <f t="shared" si="105"/>
        <v>45291</v>
      </c>
      <c r="AC356" s="1">
        <v>0</v>
      </c>
      <c r="AD356" s="1">
        <f t="shared" si="106"/>
        <v>0</v>
      </c>
      <c r="AE356" s="1">
        <f t="shared" si="107"/>
        <v>0</v>
      </c>
      <c r="AF356" s="1">
        <f t="shared" si="108"/>
        <v>0</v>
      </c>
      <c r="AG356" s="1">
        <f t="shared" si="109"/>
        <v>0</v>
      </c>
      <c r="AH356" s="1">
        <f t="shared" si="110"/>
        <v>182.5</v>
      </c>
      <c r="AI356" s="5">
        <f t="shared" si="111"/>
        <v>0.5</v>
      </c>
      <c r="AJ356" s="5">
        <f t="shared" si="112"/>
        <v>0.40773011617515637</v>
      </c>
      <c r="AK356" s="5">
        <f t="shared" si="113"/>
        <v>0</v>
      </c>
      <c r="AL356" s="5">
        <f t="shared" si="114"/>
        <v>0</v>
      </c>
      <c r="AM356" s="5">
        <f t="shared" si="115"/>
        <v>0</v>
      </c>
      <c r="AN356" s="5">
        <f t="shared" si="116"/>
        <v>0</v>
      </c>
      <c r="AO356" s="1" t="s">
        <v>111</v>
      </c>
    </row>
    <row r="357" spans="1:41" x14ac:dyDescent="0.25">
      <c r="A357" s="1" t="s">
        <v>19</v>
      </c>
      <c r="B357" s="1" t="s">
        <v>37</v>
      </c>
      <c r="C357" s="1" t="s">
        <v>21</v>
      </c>
      <c r="D357" s="1" t="s">
        <v>38</v>
      </c>
      <c r="E357" s="1" t="s">
        <v>96</v>
      </c>
      <c r="F357" s="1" t="s">
        <v>103</v>
      </c>
      <c r="G357" s="1" t="s">
        <v>98</v>
      </c>
      <c r="H357" s="1" t="s">
        <v>537</v>
      </c>
      <c r="I357" s="1" t="s">
        <v>162</v>
      </c>
      <c r="J357" s="1" t="s">
        <v>101</v>
      </c>
      <c r="L357" s="1">
        <v>1939214</v>
      </c>
      <c r="M357" s="1" t="s">
        <v>547</v>
      </c>
      <c r="N357" s="8">
        <f>DATE(2014,4,3)</f>
        <v>41732</v>
      </c>
      <c r="O357" s="8">
        <f>DATE(2018,12,22)</f>
        <v>43456</v>
      </c>
      <c r="P357" s="1">
        <v>4475</v>
      </c>
      <c r="Q357" s="1">
        <v>3200</v>
      </c>
      <c r="R357" s="1">
        <f t="shared" si="99"/>
        <v>3200</v>
      </c>
      <c r="S357" s="1">
        <v>2.5</v>
      </c>
      <c r="U357" s="1">
        <f t="shared" si="100"/>
        <v>1725</v>
      </c>
      <c r="V357" s="7">
        <f t="shared" si="101"/>
        <v>1.855072463768116</v>
      </c>
      <c r="W357" s="7">
        <f t="shared" si="102"/>
        <v>677.10144927536237</v>
      </c>
      <c r="X357" s="7">
        <f t="shared" si="103"/>
        <v>0.84637681159420297</v>
      </c>
      <c r="AA357" s="8">
        <f t="shared" si="104"/>
        <v>44927</v>
      </c>
      <c r="AB357" s="8">
        <f t="shared" si="105"/>
        <v>45291</v>
      </c>
      <c r="AC357" s="1">
        <v>1</v>
      </c>
      <c r="AD357" s="1">
        <f t="shared" si="106"/>
        <v>0</v>
      </c>
      <c r="AE357" s="1">
        <f t="shared" si="107"/>
        <v>0</v>
      </c>
      <c r="AF357" s="1">
        <f t="shared" si="108"/>
        <v>0</v>
      </c>
      <c r="AG357" s="1">
        <f t="shared" si="109"/>
        <v>0</v>
      </c>
      <c r="AH357" s="1">
        <f t="shared" si="110"/>
        <v>182.5</v>
      </c>
      <c r="AI357" s="5">
        <f t="shared" si="111"/>
        <v>0.5</v>
      </c>
      <c r="AJ357" s="5">
        <f t="shared" si="112"/>
        <v>0.42318840579710149</v>
      </c>
      <c r="AK357" s="5">
        <f t="shared" si="113"/>
        <v>0</v>
      </c>
      <c r="AL357" s="5">
        <f t="shared" si="114"/>
        <v>0</v>
      </c>
      <c r="AM357" s="5">
        <f t="shared" si="115"/>
        <v>0</v>
      </c>
      <c r="AN357" s="5">
        <f t="shared" si="116"/>
        <v>0</v>
      </c>
      <c r="AO357" s="1" t="s">
        <v>102</v>
      </c>
    </row>
    <row r="358" spans="1:41" x14ac:dyDescent="0.25">
      <c r="A358" s="1" t="s">
        <v>19</v>
      </c>
      <c r="B358" s="1" t="s">
        <v>37</v>
      </c>
      <c r="C358" s="1" t="s">
        <v>21</v>
      </c>
      <c r="D358" s="1" t="s">
        <v>38</v>
      </c>
      <c r="E358" s="1" t="s">
        <v>96</v>
      </c>
      <c r="F358" s="1" t="s">
        <v>103</v>
      </c>
      <c r="G358" s="1" t="s">
        <v>98</v>
      </c>
      <c r="H358" s="1" t="s">
        <v>542</v>
      </c>
      <c r="I358" s="1" t="s">
        <v>210</v>
      </c>
      <c r="J358" s="1" t="s">
        <v>101</v>
      </c>
      <c r="L358" s="1">
        <v>1939221</v>
      </c>
      <c r="M358" s="1" t="s">
        <v>548</v>
      </c>
      <c r="N358" s="8">
        <f>DATE(2014,4,3)</f>
        <v>41732</v>
      </c>
      <c r="O358" s="8">
        <f>DATE(2018,12,22)</f>
        <v>43456</v>
      </c>
      <c r="P358" s="1">
        <v>4610</v>
      </c>
      <c r="Q358" s="1">
        <v>3600</v>
      </c>
      <c r="R358" s="1">
        <f t="shared" si="99"/>
        <v>3600</v>
      </c>
      <c r="S358" s="1">
        <v>2.5</v>
      </c>
      <c r="U358" s="1">
        <f t="shared" si="100"/>
        <v>1725</v>
      </c>
      <c r="V358" s="7">
        <f t="shared" si="101"/>
        <v>2.0869565217391304</v>
      </c>
      <c r="W358" s="7">
        <f t="shared" si="102"/>
        <v>761.73913043478262</v>
      </c>
      <c r="X358" s="7">
        <f t="shared" si="103"/>
        <v>0.95217391304347831</v>
      </c>
      <c r="AA358" s="8">
        <f t="shared" si="104"/>
        <v>44927</v>
      </c>
      <c r="AB358" s="8">
        <f t="shared" si="105"/>
        <v>45291</v>
      </c>
      <c r="AC358" s="1">
        <v>1</v>
      </c>
      <c r="AD358" s="1">
        <f t="shared" si="106"/>
        <v>0</v>
      </c>
      <c r="AE358" s="1">
        <f t="shared" si="107"/>
        <v>0</v>
      </c>
      <c r="AF358" s="1">
        <f t="shared" si="108"/>
        <v>0</v>
      </c>
      <c r="AG358" s="1">
        <f t="shared" si="109"/>
        <v>0</v>
      </c>
      <c r="AH358" s="1">
        <f t="shared" si="110"/>
        <v>182.5</v>
      </c>
      <c r="AI358" s="5">
        <f t="shared" si="111"/>
        <v>0.5</v>
      </c>
      <c r="AJ358" s="5">
        <f t="shared" si="112"/>
        <v>0.47608695652173916</v>
      </c>
      <c r="AK358" s="5">
        <f t="shared" si="113"/>
        <v>0</v>
      </c>
      <c r="AL358" s="5">
        <f t="shared" si="114"/>
        <v>0</v>
      </c>
      <c r="AM358" s="5">
        <f t="shared" si="115"/>
        <v>0</v>
      </c>
      <c r="AN358" s="5">
        <f t="shared" si="116"/>
        <v>0</v>
      </c>
      <c r="AO358" s="1" t="s">
        <v>102</v>
      </c>
    </row>
    <row r="359" spans="1:41" x14ac:dyDescent="0.25">
      <c r="A359" s="1" t="s">
        <v>19</v>
      </c>
      <c r="B359" s="1" t="s">
        <v>37</v>
      </c>
      <c r="C359" s="1" t="s">
        <v>21</v>
      </c>
      <c r="D359" s="1" t="s">
        <v>38</v>
      </c>
      <c r="E359" s="1" t="s">
        <v>96</v>
      </c>
      <c r="F359" s="1" t="s">
        <v>103</v>
      </c>
      <c r="G359" s="1" t="s">
        <v>127</v>
      </c>
      <c r="H359" s="1" t="s">
        <v>520</v>
      </c>
      <c r="I359" s="1" t="s">
        <v>210</v>
      </c>
      <c r="J359" s="1" t="s">
        <v>101</v>
      </c>
      <c r="L359" s="1">
        <v>1939231</v>
      </c>
      <c r="M359" s="1" t="s">
        <v>549</v>
      </c>
      <c r="N359" s="8">
        <f>DATE(2014,4,3)</f>
        <v>41732</v>
      </c>
      <c r="O359" s="8">
        <f>DATE(2017,7,14)</f>
        <v>42930</v>
      </c>
      <c r="P359" s="1">
        <v>2406</v>
      </c>
      <c r="Q359" s="1">
        <v>2400</v>
      </c>
      <c r="R359" s="1">
        <f t="shared" si="99"/>
        <v>2400</v>
      </c>
      <c r="S359" s="1">
        <v>2.5</v>
      </c>
      <c r="U359" s="1">
        <f t="shared" si="100"/>
        <v>1199</v>
      </c>
      <c r="V359" s="7">
        <f t="shared" si="101"/>
        <v>2.0016680567139282</v>
      </c>
      <c r="W359" s="7">
        <f t="shared" si="102"/>
        <v>730.60884070058376</v>
      </c>
      <c r="X359" s="7">
        <f t="shared" si="103"/>
        <v>0.91326105087572973</v>
      </c>
      <c r="AA359" s="8">
        <f t="shared" si="104"/>
        <v>44927</v>
      </c>
      <c r="AB359" s="8">
        <f t="shared" si="105"/>
        <v>45291</v>
      </c>
      <c r="AC359" s="1">
        <v>0</v>
      </c>
      <c r="AD359" s="1">
        <f t="shared" si="106"/>
        <v>0</v>
      </c>
      <c r="AE359" s="1">
        <f t="shared" si="107"/>
        <v>0</v>
      </c>
      <c r="AF359" s="1">
        <f t="shared" si="108"/>
        <v>0</v>
      </c>
      <c r="AG359" s="1">
        <f t="shared" si="109"/>
        <v>0</v>
      </c>
      <c r="AH359" s="1">
        <f t="shared" si="110"/>
        <v>182.5</v>
      </c>
      <c r="AI359" s="5">
        <f t="shared" si="111"/>
        <v>0.5</v>
      </c>
      <c r="AJ359" s="5">
        <f t="shared" si="112"/>
        <v>0.45663052543786486</v>
      </c>
      <c r="AK359" s="5">
        <f t="shared" si="113"/>
        <v>0</v>
      </c>
      <c r="AL359" s="5">
        <f t="shared" si="114"/>
        <v>0</v>
      </c>
      <c r="AM359" s="5">
        <f t="shared" si="115"/>
        <v>0</v>
      </c>
      <c r="AN359" s="5">
        <f t="shared" si="116"/>
        <v>0</v>
      </c>
      <c r="AO359" s="1" t="s">
        <v>102</v>
      </c>
    </row>
    <row r="360" spans="1:41" x14ac:dyDescent="0.25">
      <c r="A360" s="1" t="s">
        <v>19</v>
      </c>
      <c r="B360" s="1" t="s">
        <v>37</v>
      </c>
      <c r="C360" s="1" t="s">
        <v>21</v>
      </c>
      <c r="D360" s="1" t="s">
        <v>38</v>
      </c>
      <c r="E360" s="1" t="s">
        <v>96</v>
      </c>
      <c r="F360" s="1" t="s">
        <v>103</v>
      </c>
      <c r="G360" s="1" t="s">
        <v>127</v>
      </c>
      <c r="H360" s="1" t="s">
        <v>518</v>
      </c>
      <c r="I360" s="1" t="s">
        <v>162</v>
      </c>
      <c r="J360" s="1" t="s">
        <v>101</v>
      </c>
      <c r="L360" s="1">
        <v>1939260</v>
      </c>
      <c r="M360" s="1" t="s">
        <v>550</v>
      </c>
      <c r="N360" s="8">
        <f>DATE(2014,4,3)</f>
        <v>41732</v>
      </c>
      <c r="O360" s="8">
        <f>DATE(2016,12,23)</f>
        <v>42727</v>
      </c>
      <c r="P360" s="1">
        <v>2142</v>
      </c>
      <c r="Q360" s="1">
        <v>2000</v>
      </c>
      <c r="R360" s="1">
        <f t="shared" si="99"/>
        <v>2000</v>
      </c>
      <c r="S360" s="1">
        <v>1.5</v>
      </c>
      <c r="U360" s="1">
        <f t="shared" si="100"/>
        <v>996</v>
      </c>
      <c r="V360" s="7">
        <f t="shared" si="101"/>
        <v>2.0080321285140563</v>
      </c>
      <c r="W360" s="7">
        <f t="shared" si="102"/>
        <v>732.9317269076306</v>
      </c>
      <c r="X360" s="7">
        <f t="shared" si="103"/>
        <v>0.91616465863453822</v>
      </c>
      <c r="AA360" s="8">
        <f t="shared" si="104"/>
        <v>44927</v>
      </c>
      <c r="AB360" s="8">
        <f t="shared" si="105"/>
        <v>45291</v>
      </c>
      <c r="AC360" s="1">
        <v>2</v>
      </c>
      <c r="AD360" s="1">
        <f t="shared" si="106"/>
        <v>0</v>
      </c>
      <c r="AE360" s="1">
        <f t="shared" si="107"/>
        <v>0</v>
      </c>
      <c r="AF360" s="1">
        <f t="shared" si="108"/>
        <v>0</v>
      </c>
      <c r="AG360" s="1">
        <f t="shared" si="109"/>
        <v>0</v>
      </c>
      <c r="AH360" s="1">
        <f t="shared" si="110"/>
        <v>182.5</v>
      </c>
      <c r="AI360" s="5">
        <f t="shared" si="111"/>
        <v>0.5</v>
      </c>
      <c r="AJ360" s="5">
        <f t="shared" si="112"/>
        <v>0.45808232931726911</v>
      </c>
      <c r="AK360" s="5">
        <f t="shared" si="113"/>
        <v>0</v>
      </c>
      <c r="AL360" s="5">
        <f t="shared" si="114"/>
        <v>0</v>
      </c>
      <c r="AM360" s="5">
        <f t="shared" si="115"/>
        <v>0</v>
      </c>
      <c r="AN360" s="5">
        <f t="shared" si="116"/>
        <v>0</v>
      </c>
      <c r="AO360" s="1" t="s">
        <v>102</v>
      </c>
    </row>
    <row r="361" spans="1:41" x14ac:dyDescent="0.25">
      <c r="A361" s="1" t="s">
        <v>19</v>
      </c>
      <c r="B361" s="1" t="s">
        <v>37</v>
      </c>
      <c r="C361" s="1" t="s">
        <v>21</v>
      </c>
      <c r="D361" s="1" t="s">
        <v>38</v>
      </c>
      <c r="E361" s="1" t="s">
        <v>96</v>
      </c>
      <c r="F361" s="1" t="s">
        <v>103</v>
      </c>
      <c r="G361" s="1" t="s">
        <v>127</v>
      </c>
      <c r="H361" s="1" t="s">
        <v>528</v>
      </c>
      <c r="I361" s="1" t="s">
        <v>162</v>
      </c>
      <c r="J361" s="1" t="s">
        <v>101</v>
      </c>
      <c r="L361" s="1">
        <v>1939262</v>
      </c>
      <c r="M361" s="1" t="s">
        <v>551</v>
      </c>
      <c r="N361" s="8">
        <f>DATE(2014,4,3)</f>
        <v>41732</v>
      </c>
      <c r="O361" s="8">
        <f>DATE(2016,12,23)</f>
        <v>42727</v>
      </c>
      <c r="P361" s="1">
        <v>2280</v>
      </c>
      <c r="Q361" s="1">
        <v>2000</v>
      </c>
      <c r="R361" s="1">
        <f t="shared" si="99"/>
        <v>2000</v>
      </c>
      <c r="S361" s="1">
        <v>1</v>
      </c>
      <c r="U361" s="1">
        <f t="shared" si="100"/>
        <v>996</v>
      </c>
      <c r="V361" s="7">
        <f t="shared" si="101"/>
        <v>2.0080321285140563</v>
      </c>
      <c r="W361" s="7">
        <f t="shared" si="102"/>
        <v>732.9317269076306</v>
      </c>
      <c r="X361" s="7">
        <f t="shared" si="103"/>
        <v>0.91616465863453822</v>
      </c>
      <c r="AA361" s="8">
        <f t="shared" si="104"/>
        <v>44927</v>
      </c>
      <c r="AB361" s="8">
        <f t="shared" si="105"/>
        <v>45291</v>
      </c>
      <c r="AC361" s="1">
        <v>4</v>
      </c>
      <c r="AD361" s="1">
        <f t="shared" si="106"/>
        <v>0</v>
      </c>
      <c r="AE361" s="1">
        <f t="shared" si="107"/>
        <v>0</v>
      </c>
      <c r="AF361" s="1">
        <f t="shared" si="108"/>
        <v>0</v>
      </c>
      <c r="AG361" s="1">
        <f t="shared" si="109"/>
        <v>0</v>
      </c>
      <c r="AH361" s="1">
        <f t="shared" si="110"/>
        <v>182.5</v>
      </c>
      <c r="AI361" s="5">
        <f t="shared" si="111"/>
        <v>0.5</v>
      </c>
      <c r="AJ361" s="5">
        <f t="shared" si="112"/>
        <v>0.45808232931726911</v>
      </c>
      <c r="AK361" s="5">
        <f t="shared" si="113"/>
        <v>0</v>
      </c>
      <c r="AL361" s="5">
        <f t="shared" si="114"/>
        <v>0</v>
      </c>
      <c r="AM361" s="5">
        <f t="shared" si="115"/>
        <v>0</v>
      </c>
      <c r="AN361" s="5">
        <f t="shared" si="116"/>
        <v>0</v>
      </c>
      <c r="AO361" s="1" t="s">
        <v>102</v>
      </c>
    </row>
    <row r="362" spans="1:41" x14ac:dyDescent="0.25">
      <c r="A362" s="1" t="s">
        <v>19</v>
      </c>
      <c r="B362" s="1" t="s">
        <v>37</v>
      </c>
      <c r="C362" s="1" t="s">
        <v>21</v>
      </c>
      <c r="D362" s="1" t="s">
        <v>38</v>
      </c>
      <c r="E362" s="1" t="s">
        <v>172</v>
      </c>
      <c r="F362" s="1" t="s">
        <v>534</v>
      </c>
      <c r="G362" s="1" t="s">
        <v>127</v>
      </c>
      <c r="H362" s="1" t="s">
        <v>528</v>
      </c>
      <c r="I362" s="1" t="s">
        <v>162</v>
      </c>
      <c r="J362" s="1" t="s">
        <v>101</v>
      </c>
      <c r="L362" s="1">
        <v>1942589</v>
      </c>
      <c r="M362" s="1" t="s">
        <v>552</v>
      </c>
      <c r="N362" s="8">
        <f>DATE(2014,6,23)</f>
        <v>41813</v>
      </c>
      <c r="O362" s="8">
        <f>DATE(2017,6,9)</f>
        <v>42895</v>
      </c>
      <c r="P362" s="1">
        <v>2340</v>
      </c>
      <c r="Q362" s="1">
        <v>2000</v>
      </c>
      <c r="R362" s="1">
        <f t="shared" si="99"/>
        <v>2000</v>
      </c>
      <c r="S362" s="1">
        <v>1</v>
      </c>
      <c r="U362" s="1">
        <f t="shared" si="100"/>
        <v>1083</v>
      </c>
      <c r="V362" s="7">
        <f t="shared" si="101"/>
        <v>1.8467220683287164</v>
      </c>
      <c r="W362" s="7">
        <f t="shared" si="102"/>
        <v>674.0535549399815</v>
      </c>
      <c r="X362" s="7">
        <f t="shared" si="103"/>
        <v>0.84256694367497686</v>
      </c>
      <c r="AA362" s="8">
        <f t="shared" si="104"/>
        <v>44927</v>
      </c>
      <c r="AB362" s="8">
        <f t="shared" si="105"/>
        <v>45291</v>
      </c>
      <c r="AC362" s="1">
        <v>40</v>
      </c>
      <c r="AD362" s="1">
        <f t="shared" si="106"/>
        <v>0</v>
      </c>
      <c r="AE362" s="1">
        <f t="shared" si="107"/>
        <v>0</v>
      </c>
      <c r="AF362" s="1">
        <f t="shared" si="108"/>
        <v>0</v>
      </c>
      <c r="AG362" s="1">
        <f t="shared" si="109"/>
        <v>0</v>
      </c>
      <c r="AH362" s="1">
        <f t="shared" si="110"/>
        <v>182.5</v>
      </c>
      <c r="AI362" s="5">
        <f t="shared" si="111"/>
        <v>0.5</v>
      </c>
      <c r="AJ362" s="5">
        <f t="shared" si="112"/>
        <v>0.42128347183748843</v>
      </c>
      <c r="AK362" s="5">
        <f t="shared" si="113"/>
        <v>0</v>
      </c>
      <c r="AL362" s="5">
        <f t="shared" si="114"/>
        <v>0</v>
      </c>
      <c r="AM362" s="5">
        <f t="shared" si="115"/>
        <v>0</v>
      </c>
      <c r="AN362" s="5">
        <f t="shared" si="116"/>
        <v>0</v>
      </c>
      <c r="AO362" s="1" t="s">
        <v>111</v>
      </c>
    </row>
    <row r="363" spans="1:41" x14ac:dyDescent="0.25">
      <c r="A363" s="1" t="s">
        <v>19</v>
      </c>
      <c r="B363" s="1" t="s">
        <v>37</v>
      </c>
      <c r="C363" s="1" t="s">
        <v>21</v>
      </c>
      <c r="D363" s="1" t="s">
        <v>38</v>
      </c>
      <c r="E363" s="1" t="s">
        <v>96</v>
      </c>
      <c r="F363" s="1" t="s">
        <v>103</v>
      </c>
      <c r="G363" s="1" t="s">
        <v>98</v>
      </c>
      <c r="H363" s="1" t="s">
        <v>542</v>
      </c>
      <c r="I363" s="1" t="s">
        <v>210</v>
      </c>
      <c r="J363" s="1" t="s">
        <v>101</v>
      </c>
      <c r="L363" s="1">
        <v>1959861</v>
      </c>
      <c r="M363" s="1" t="s">
        <v>553</v>
      </c>
      <c r="N363" s="8">
        <f>DATE(2014,9,1)</f>
        <v>41883</v>
      </c>
      <c r="O363" s="8">
        <f>DATE(2019,8,16)</f>
        <v>43693</v>
      </c>
      <c r="P363" s="1">
        <v>4610</v>
      </c>
      <c r="Q363" s="1">
        <v>3600</v>
      </c>
      <c r="R363" s="1">
        <f t="shared" si="99"/>
        <v>3600</v>
      </c>
      <c r="S363" s="1">
        <v>2.5</v>
      </c>
      <c r="U363" s="1">
        <f t="shared" si="100"/>
        <v>1811</v>
      </c>
      <c r="V363" s="7">
        <f t="shared" si="101"/>
        <v>1.9878520154610713</v>
      </c>
      <c r="W363" s="7">
        <f t="shared" si="102"/>
        <v>725.56598564329101</v>
      </c>
      <c r="X363" s="7">
        <f t="shared" si="103"/>
        <v>0.90695748205411375</v>
      </c>
      <c r="AA363" s="8">
        <f t="shared" si="104"/>
        <v>44927</v>
      </c>
      <c r="AB363" s="8">
        <f t="shared" si="105"/>
        <v>45291</v>
      </c>
      <c r="AC363" s="1">
        <v>2</v>
      </c>
      <c r="AD363" s="1">
        <f t="shared" si="106"/>
        <v>0</v>
      </c>
      <c r="AE363" s="1">
        <f t="shared" si="107"/>
        <v>0</v>
      </c>
      <c r="AF363" s="1">
        <f t="shared" si="108"/>
        <v>0</v>
      </c>
      <c r="AG363" s="1">
        <f t="shared" si="109"/>
        <v>0</v>
      </c>
      <c r="AH363" s="1">
        <f t="shared" si="110"/>
        <v>182.5</v>
      </c>
      <c r="AI363" s="5">
        <f t="shared" si="111"/>
        <v>0.5</v>
      </c>
      <c r="AJ363" s="5">
        <f t="shared" si="112"/>
        <v>0.45347874102705688</v>
      </c>
      <c r="AK363" s="5">
        <f t="shared" si="113"/>
        <v>0</v>
      </c>
      <c r="AL363" s="5">
        <f t="shared" si="114"/>
        <v>0</v>
      </c>
      <c r="AM363" s="5">
        <f t="shared" si="115"/>
        <v>0</v>
      </c>
      <c r="AN363" s="5">
        <f t="shared" si="116"/>
        <v>0</v>
      </c>
      <c r="AO363" s="1" t="s">
        <v>102</v>
      </c>
    </row>
    <row r="364" spans="1:41" x14ac:dyDescent="0.25">
      <c r="A364" s="1" t="s">
        <v>19</v>
      </c>
      <c r="B364" s="1" t="s">
        <v>37</v>
      </c>
      <c r="C364" s="1" t="s">
        <v>21</v>
      </c>
      <c r="D364" s="1" t="s">
        <v>38</v>
      </c>
      <c r="E364" s="1" t="s">
        <v>96</v>
      </c>
      <c r="F364" s="1" t="s">
        <v>103</v>
      </c>
      <c r="G364" s="1" t="s">
        <v>127</v>
      </c>
      <c r="H364" s="1" t="s">
        <v>520</v>
      </c>
      <c r="I364" s="1" t="s">
        <v>210</v>
      </c>
      <c r="J364" s="1" t="s">
        <v>101</v>
      </c>
      <c r="L364" s="1">
        <v>1959862</v>
      </c>
      <c r="M364" s="1" t="s">
        <v>554</v>
      </c>
      <c r="N364" s="8">
        <f>DATE(2014,9,1)</f>
        <v>41883</v>
      </c>
      <c r="O364" s="8">
        <f>DATE(2017,12,22)</f>
        <v>43091</v>
      </c>
      <c r="P364" s="1">
        <v>2406</v>
      </c>
      <c r="Q364" s="1">
        <v>2400</v>
      </c>
      <c r="R364" s="1">
        <f t="shared" si="99"/>
        <v>2400</v>
      </c>
      <c r="S364" s="1">
        <v>2.5</v>
      </c>
      <c r="U364" s="1">
        <f t="shared" si="100"/>
        <v>1209</v>
      </c>
      <c r="V364" s="7">
        <f t="shared" si="101"/>
        <v>1.9851116625310175</v>
      </c>
      <c r="W364" s="7">
        <f t="shared" si="102"/>
        <v>724.5657568238214</v>
      </c>
      <c r="X364" s="7">
        <f t="shared" si="103"/>
        <v>0.90570719602977678</v>
      </c>
      <c r="AA364" s="8">
        <f t="shared" si="104"/>
        <v>44927</v>
      </c>
      <c r="AB364" s="8">
        <f t="shared" si="105"/>
        <v>45291</v>
      </c>
      <c r="AC364" s="1">
        <v>1</v>
      </c>
      <c r="AD364" s="1">
        <f t="shared" si="106"/>
        <v>0</v>
      </c>
      <c r="AE364" s="1">
        <f t="shared" si="107"/>
        <v>0</v>
      </c>
      <c r="AF364" s="1">
        <f t="shared" si="108"/>
        <v>0</v>
      </c>
      <c r="AG364" s="1">
        <f t="shared" si="109"/>
        <v>0</v>
      </c>
      <c r="AH364" s="1">
        <f t="shared" si="110"/>
        <v>182.5</v>
      </c>
      <c r="AI364" s="5">
        <f t="shared" si="111"/>
        <v>0.5</v>
      </c>
      <c r="AJ364" s="5">
        <f t="shared" si="112"/>
        <v>0.45285359801488839</v>
      </c>
      <c r="AK364" s="5">
        <f t="shared" si="113"/>
        <v>0</v>
      </c>
      <c r="AL364" s="5">
        <f t="shared" si="114"/>
        <v>0</v>
      </c>
      <c r="AM364" s="5">
        <f t="shared" si="115"/>
        <v>0</v>
      </c>
      <c r="AN364" s="5">
        <f t="shared" si="116"/>
        <v>0</v>
      </c>
      <c r="AO364" s="1" t="s">
        <v>102</v>
      </c>
    </row>
    <row r="365" spans="1:41" x14ac:dyDescent="0.25">
      <c r="A365" s="1" t="s">
        <v>19</v>
      </c>
      <c r="B365" s="1" t="s">
        <v>37</v>
      </c>
      <c r="C365" s="1" t="s">
        <v>21</v>
      </c>
      <c r="D365" s="1" t="s">
        <v>38</v>
      </c>
      <c r="E365" s="1" t="s">
        <v>96</v>
      </c>
      <c r="F365" s="1" t="s">
        <v>103</v>
      </c>
      <c r="G365" s="1" t="s">
        <v>127</v>
      </c>
      <c r="H365" s="1" t="s">
        <v>555</v>
      </c>
      <c r="I365" s="1" t="s">
        <v>331</v>
      </c>
      <c r="J365" s="1" t="s">
        <v>101</v>
      </c>
      <c r="L365" s="1">
        <v>1959863</v>
      </c>
      <c r="M365" s="1" t="s">
        <v>556</v>
      </c>
      <c r="N365" s="8">
        <f>DATE(2014,9,1)</f>
        <v>41883</v>
      </c>
      <c r="O365" s="8">
        <f>DATE(2017,12,22)</f>
        <v>43091</v>
      </c>
      <c r="P365" s="1">
        <v>2509</v>
      </c>
      <c r="Q365" s="1">
        <v>2400</v>
      </c>
      <c r="R365" s="1">
        <f t="shared" si="99"/>
        <v>2400</v>
      </c>
      <c r="S365" s="1">
        <v>2.5</v>
      </c>
      <c r="U365" s="1">
        <f t="shared" si="100"/>
        <v>1209</v>
      </c>
      <c r="V365" s="7">
        <f t="shared" si="101"/>
        <v>1.9851116625310175</v>
      </c>
      <c r="W365" s="7">
        <f t="shared" si="102"/>
        <v>724.5657568238214</v>
      </c>
      <c r="X365" s="7">
        <f t="shared" si="103"/>
        <v>0.90570719602977678</v>
      </c>
      <c r="AA365" s="8">
        <f t="shared" si="104"/>
        <v>44927</v>
      </c>
      <c r="AB365" s="8">
        <f t="shared" si="105"/>
        <v>45291</v>
      </c>
      <c r="AC365" s="1">
        <v>0</v>
      </c>
      <c r="AD365" s="1">
        <f t="shared" si="106"/>
        <v>0</v>
      </c>
      <c r="AE365" s="1">
        <f t="shared" si="107"/>
        <v>0</v>
      </c>
      <c r="AF365" s="1">
        <f t="shared" si="108"/>
        <v>0</v>
      </c>
      <c r="AG365" s="1">
        <f t="shared" si="109"/>
        <v>0</v>
      </c>
      <c r="AH365" s="1">
        <f t="shared" si="110"/>
        <v>182.5</v>
      </c>
      <c r="AI365" s="5">
        <f t="shared" si="111"/>
        <v>0.5</v>
      </c>
      <c r="AJ365" s="5">
        <f t="shared" si="112"/>
        <v>0.45285359801488839</v>
      </c>
      <c r="AK365" s="5">
        <f t="shared" si="113"/>
        <v>0</v>
      </c>
      <c r="AL365" s="5">
        <f t="shared" si="114"/>
        <v>0</v>
      </c>
      <c r="AM365" s="5">
        <f t="shared" si="115"/>
        <v>0</v>
      </c>
      <c r="AN365" s="5">
        <f t="shared" si="116"/>
        <v>0</v>
      </c>
      <c r="AO365" s="1" t="s">
        <v>102</v>
      </c>
    </row>
    <row r="366" spans="1:41" x14ac:dyDescent="0.25">
      <c r="A366" s="1" t="s">
        <v>19</v>
      </c>
      <c r="B366" s="1" t="s">
        <v>37</v>
      </c>
      <c r="C366" s="1" t="s">
        <v>21</v>
      </c>
      <c r="D366" s="1" t="s">
        <v>38</v>
      </c>
      <c r="E366" s="1" t="s">
        <v>96</v>
      </c>
      <c r="F366" s="1" t="s">
        <v>103</v>
      </c>
      <c r="G366" s="1" t="s">
        <v>114</v>
      </c>
      <c r="H366" s="1" t="s">
        <v>557</v>
      </c>
      <c r="I366" s="1" t="s">
        <v>162</v>
      </c>
      <c r="J366" s="1" t="s">
        <v>101</v>
      </c>
      <c r="K366" s="1" t="s">
        <v>116</v>
      </c>
      <c r="L366" s="1">
        <v>1980903</v>
      </c>
      <c r="M366" s="1" t="s">
        <v>558</v>
      </c>
      <c r="N366" s="8">
        <f t="shared" ref="N366:N373" si="118">DATE(2015,3,12)</f>
        <v>42075</v>
      </c>
      <c r="O366" s="8">
        <f>DATE(2018,12,21)</f>
        <v>43455</v>
      </c>
      <c r="P366" s="1">
        <v>3903</v>
      </c>
      <c r="Q366" s="1">
        <v>1200</v>
      </c>
      <c r="R366" s="1">
        <f t="shared" si="99"/>
        <v>3200</v>
      </c>
      <c r="S366" s="1">
        <v>2</v>
      </c>
      <c r="U366" s="1">
        <f t="shared" si="100"/>
        <v>1381</v>
      </c>
      <c r="V366" s="7">
        <f t="shared" si="101"/>
        <v>2.3171614771904419</v>
      </c>
      <c r="W366" s="7">
        <f t="shared" si="102"/>
        <v>845.76393917451128</v>
      </c>
      <c r="X366" s="7">
        <f t="shared" si="103"/>
        <v>1.0572049239681391</v>
      </c>
      <c r="AA366" s="8">
        <f t="shared" si="104"/>
        <v>44927</v>
      </c>
      <c r="AB366" s="8">
        <f t="shared" si="105"/>
        <v>45291</v>
      </c>
      <c r="AC366" s="1">
        <v>1</v>
      </c>
      <c r="AD366" s="1">
        <f t="shared" si="106"/>
        <v>0</v>
      </c>
      <c r="AE366" s="1">
        <f t="shared" si="107"/>
        <v>0</v>
      </c>
      <c r="AF366" s="1">
        <f t="shared" si="108"/>
        <v>0</v>
      </c>
      <c r="AG366" s="1">
        <f t="shared" si="109"/>
        <v>0</v>
      </c>
      <c r="AH366" s="1">
        <f t="shared" si="110"/>
        <v>182.5</v>
      </c>
      <c r="AI366" s="5">
        <f t="shared" si="111"/>
        <v>0.5</v>
      </c>
      <c r="AJ366" s="5">
        <f t="shared" si="112"/>
        <v>0.52860246198406957</v>
      </c>
      <c r="AK366" s="5">
        <f t="shared" si="113"/>
        <v>0</v>
      </c>
      <c r="AL366" s="5">
        <f t="shared" si="114"/>
        <v>0</v>
      </c>
      <c r="AM366" s="5">
        <f t="shared" si="115"/>
        <v>0</v>
      </c>
      <c r="AN366" s="5">
        <f t="shared" si="116"/>
        <v>0</v>
      </c>
      <c r="AO366" s="1" t="s">
        <v>102</v>
      </c>
    </row>
    <row r="367" spans="1:41" x14ac:dyDescent="0.25">
      <c r="A367" s="1" t="s">
        <v>19</v>
      </c>
      <c r="B367" s="1" t="s">
        <v>37</v>
      </c>
      <c r="C367" s="1" t="s">
        <v>21</v>
      </c>
      <c r="D367" s="1" t="s">
        <v>38</v>
      </c>
      <c r="E367" s="1" t="s">
        <v>96</v>
      </c>
      <c r="F367" s="1" t="s">
        <v>103</v>
      </c>
      <c r="G367" s="1" t="s">
        <v>98</v>
      </c>
      <c r="H367" s="1" t="s">
        <v>542</v>
      </c>
      <c r="I367" s="1" t="s">
        <v>210</v>
      </c>
      <c r="J367" s="1" t="s">
        <v>101</v>
      </c>
      <c r="L367" s="1">
        <v>1980907</v>
      </c>
      <c r="M367" s="1" t="s">
        <v>559</v>
      </c>
      <c r="N367" s="8">
        <f t="shared" si="118"/>
        <v>42075</v>
      </c>
      <c r="O367" s="8">
        <f>DATE(2019,12,23)</f>
        <v>43822</v>
      </c>
      <c r="P367" s="1">
        <v>4610</v>
      </c>
      <c r="Q367" s="1">
        <v>3600</v>
      </c>
      <c r="R367" s="1">
        <f t="shared" si="99"/>
        <v>3600</v>
      </c>
      <c r="S367" s="1">
        <v>2.5</v>
      </c>
      <c r="U367" s="1">
        <f t="shared" si="100"/>
        <v>1748</v>
      </c>
      <c r="V367" s="7">
        <f t="shared" si="101"/>
        <v>2.0594965675057209</v>
      </c>
      <c r="W367" s="7">
        <f t="shared" si="102"/>
        <v>751.71624713958806</v>
      </c>
      <c r="X367" s="7">
        <f t="shared" si="103"/>
        <v>0.93964530892448506</v>
      </c>
      <c r="AA367" s="8">
        <f t="shared" si="104"/>
        <v>44927</v>
      </c>
      <c r="AB367" s="8">
        <f t="shared" si="105"/>
        <v>45291</v>
      </c>
      <c r="AC367" s="1">
        <v>0</v>
      </c>
      <c r="AD367" s="1">
        <f t="shared" si="106"/>
        <v>0</v>
      </c>
      <c r="AE367" s="1">
        <f t="shared" si="107"/>
        <v>0</v>
      </c>
      <c r="AF367" s="1">
        <f t="shared" si="108"/>
        <v>0</v>
      </c>
      <c r="AG367" s="1">
        <f t="shared" si="109"/>
        <v>0</v>
      </c>
      <c r="AH367" s="1">
        <f t="shared" si="110"/>
        <v>182.5</v>
      </c>
      <c r="AI367" s="5">
        <f t="shared" si="111"/>
        <v>0.5</v>
      </c>
      <c r="AJ367" s="5">
        <f t="shared" si="112"/>
        <v>0.46982265446224253</v>
      </c>
      <c r="AK367" s="5">
        <f t="shared" si="113"/>
        <v>0</v>
      </c>
      <c r="AL367" s="5">
        <f t="shared" si="114"/>
        <v>0</v>
      </c>
      <c r="AM367" s="5">
        <f t="shared" si="115"/>
        <v>0</v>
      </c>
      <c r="AN367" s="5">
        <f t="shared" si="116"/>
        <v>0</v>
      </c>
      <c r="AO367" s="1" t="s">
        <v>102</v>
      </c>
    </row>
    <row r="368" spans="1:41" x14ac:dyDescent="0.25">
      <c r="A368" s="1" t="s">
        <v>19</v>
      </c>
      <c r="B368" s="1" t="s">
        <v>37</v>
      </c>
      <c r="C368" s="1" t="s">
        <v>21</v>
      </c>
      <c r="D368" s="1" t="s">
        <v>38</v>
      </c>
      <c r="E368" s="1" t="s">
        <v>96</v>
      </c>
      <c r="F368" s="1" t="s">
        <v>103</v>
      </c>
      <c r="G368" s="1" t="s">
        <v>98</v>
      </c>
      <c r="H368" s="1" t="s">
        <v>537</v>
      </c>
      <c r="I368" s="1" t="s">
        <v>162</v>
      </c>
      <c r="J368" s="1" t="s">
        <v>101</v>
      </c>
      <c r="L368" s="1">
        <v>1980913</v>
      </c>
      <c r="M368" s="1" t="s">
        <v>560</v>
      </c>
      <c r="N368" s="8">
        <f t="shared" si="118"/>
        <v>42075</v>
      </c>
      <c r="O368" s="8">
        <f>DATE(2019,12,23)</f>
        <v>43822</v>
      </c>
      <c r="P368" s="1">
        <v>4415</v>
      </c>
      <c r="Q368" s="1">
        <v>3200</v>
      </c>
      <c r="R368" s="1">
        <f t="shared" si="99"/>
        <v>3200</v>
      </c>
      <c r="S368" s="1">
        <v>2.5</v>
      </c>
      <c r="U368" s="1">
        <f t="shared" si="100"/>
        <v>1748</v>
      </c>
      <c r="V368" s="7">
        <f t="shared" si="101"/>
        <v>1.8306636155606408</v>
      </c>
      <c r="W368" s="7">
        <f t="shared" si="102"/>
        <v>668.19221967963392</v>
      </c>
      <c r="X368" s="7">
        <f t="shared" si="103"/>
        <v>0.83524027459954242</v>
      </c>
      <c r="AA368" s="8">
        <f t="shared" si="104"/>
        <v>44927</v>
      </c>
      <c r="AB368" s="8">
        <f t="shared" si="105"/>
        <v>45291</v>
      </c>
      <c r="AC368" s="1">
        <v>4</v>
      </c>
      <c r="AD368" s="1">
        <f t="shared" si="106"/>
        <v>0</v>
      </c>
      <c r="AE368" s="1">
        <f t="shared" si="107"/>
        <v>0</v>
      </c>
      <c r="AF368" s="1">
        <f t="shared" si="108"/>
        <v>0</v>
      </c>
      <c r="AG368" s="1">
        <f t="shared" si="109"/>
        <v>0</v>
      </c>
      <c r="AH368" s="1">
        <f t="shared" si="110"/>
        <v>182.5</v>
      </c>
      <c r="AI368" s="5">
        <f t="shared" si="111"/>
        <v>0.5</v>
      </c>
      <c r="AJ368" s="5">
        <f t="shared" si="112"/>
        <v>0.41762013729977121</v>
      </c>
      <c r="AK368" s="5">
        <f t="shared" si="113"/>
        <v>0</v>
      </c>
      <c r="AL368" s="5">
        <f t="shared" si="114"/>
        <v>0</v>
      </c>
      <c r="AM368" s="5">
        <f t="shared" si="115"/>
        <v>0</v>
      </c>
      <c r="AN368" s="5">
        <f t="shared" si="116"/>
        <v>0</v>
      </c>
      <c r="AO368" s="1" t="s">
        <v>102</v>
      </c>
    </row>
    <row r="369" spans="1:41" x14ac:dyDescent="0.25">
      <c r="A369" s="1" t="s">
        <v>19</v>
      </c>
      <c r="B369" s="1" t="s">
        <v>37</v>
      </c>
      <c r="C369" s="1" t="s">
        <v>21</v>
      </c>
      <c r="D369" s="1" t="s">
        <v>38</v>
      </c>
      <c r="E369" s="1" t="s">
        <v>96</v>
      </c>
      <c r="F369" s="1" t="s">
        <v>103</v>
      </c>
      <c r="G369" s="1" t="s">
        <v>127</v>
      </c>
      <c r="H369" s="1" t="s">
        <v>520</v>
      </c>
      <c r="I369" s="1" t="s">
        <v>210</v>
      </c>
      <c r="J369" s="1" t="s">
        <v>101</v>
      </c>
      <c r="L369" s="1">
        <v>1980916</v>
      </c>
      <c r="M369" s="1" t="s">
        <v>561</v>
      </c>
      <c r="N369" s="8">
        <f t="shared" si="118"/>
        <v>42075</v>
      </c>
      <c r="O369" s="8">
        <f>DATE(2018,8,17)</f>
        <v>43329</v>
      </c>
      <c r="P369" s="1">
        <v>2406</v>
      </c>
      <c r="Q369" s="1">
        <v>2400</v>
      </c>
      <c r="R369" s="1">
        <f t="shared" si="99"/>
        <v>2400</v>
      </c>
      <c r="S369" s="1">
        <v>2.5</v>
      </c>
      <c r="U369" s="1">
        <f t="shared" si="100"/>
        <v>1255</v>
      </c>
      <c r="V369" s="7">
        <f t="shared" si="101"/>
        <v>1.9123505976095618</v>
      </c>
      <c r="W369" s="7">
        <f t="shared" si="102"/>
        <v>698.00796812749002</v>
      </c>
      <c r="X369" s="7">
        <f t="shared" si="103"/>
        <v>0.87250996015936255</v>
      </c>
      <c r="AA369" s="8">
        <f t="shared" si="104"/>
        <v>44927</v>
      </c>
      <c r="AB369" s="8">
        <f t="shared" si="105"/>
        <v>45291</v>
      </c>
      <c r="AC369" s="1">
        <v>5</v>
      </c>
      <c r="AD369" s="1">
        <f t="shared" si="106"/>
        <v>0</v>
      </c>
      <c r="AE369" s="1">
        <f t="shared" si="107"/>
        <v>0</v>
      </c>
      <c r="AF369" s="1">
        <f t="shared" si="108"/>
        <v>0</v>
      </c>
      <c r="AG369" s="1">
        <f t="shared" si="109"/>
        <v>0</v>
      </c>
      <c r="AH369" s="1">
        <f t="shared" si="110"/>
        <v>182.5</v>
      </c>
      <c r="AI369" s="5">
        <f t="shared" si="111"/>
        <v>0.5</v>
      </c>
      <c r="AJ369" s="5">
        <f t="shared" si="112"/>
        <v>0.43625498007968128</v>
      </c>
      <c r="AK369" s="5">
        <f t="shared" si="113"/>
        <v>0</v>
      </c>
      <c r="AL369" s="5">
        <f t="shared" si="114"/>
        <v>0</v>
      </c>
      <c r="AM369" s="5">
        <f t="shared" si="115"/>
        <v>0</v>
      </c>
      <c r="AN369" s="5">
        <f t="shared" si="116"/>
        <v>0</v>
      </c>
      <c r="AO369" s="1" t="s">
        <v>102</v>
      </c>
    </row>
    <row r="370" spans="1:41" x14ac:dyDescent="0.25">
      <c r="A370" s="1" t="s">
        <v>19</v>
      </c>
      <c r="B370" s="1" t="s">
        <v>37</v>
      </c>
      <c r="C370" s="1" t="s">
        <v>21</v>
      </c>
      <c r="D370" s="1" t="s">
        <v>38</v>
      </c>
      <c r="E370" s="1" t="s">
        <v>96</v>
      </c>
      <c r="F370" s="1" t="s">
        <v>103</v>
      </c>
      <c r="G370" s="1" t="s">
        <v>127</v>
      </c>
      <c r="H370" s="1" t="s">
        <v>562</v>
      </c>
      <c r="I370" s="1" t="s">
        <v>331</v>
      </c>
      <c r="J370" s="1" t="s">
        <v>101</v>
      </c>
      <c r="L370" s="1">
        <v>1980921</v>
      </c>
      <c r="M370" s="1" t="s">
        <v>563</v>
      </c>
      <c r="N370" s="8">
        <f t="shared" si="118"/>
        <v>42075</v>
      </c>
      <c r="O370" s="8">
        <f>DATE(2017,12,22)</f>
        <v>43091</v>
      </c>
      <c r="P370" s="1">
        <v>2032</v>
      </c>
      <c r="Q370" s="1">
        <v>2400</v>
      </c>
      <c r="R370" s="1">
        <f t="shared" si="99"/>
        <v>2400</v>
      </c>
      <c r="S370" s="1">
        <v>2.5</v>
      </c>
      <c r="U370" s="1">
        <f t="shared" si="100"/>
        <v>1017</v>
      </c>
      <c r="V370" s="7">
        <f t="shared" si="101"/>
        <v>1.9980334316617503</v>
      </c>
      <c r="W370" s="7">
        <f t="shared" si="102"/>
        <v>729.28220255653889</v>
      </c>
      <c r="X370" s="7">
        <f t="shared" si="103"/>
        <v>0.91160275319567363</v>
      </c>
      <c r="AA370" s="8">
        <f t="shared" si="104"/>
        <v>44927</v>
      </c>
      <c r="AB370" s="8">
        <f t="shared" si="105"/>
        <v>45291</v>
      </c>
      <c r="AC370" s="1">
        <v>0</v>
      </c>
      <c r="AD370" s="1">
        <f t="shared" si="106"/>
        <v>0</v>
      </c>
      <c r="AE370" s="1">
        <f t="shared" si="107"/>
        <v>0</v>
      </c>
      <c r="AF370" s="1">
        <f t="shared" si="108"/>
        <v>0</v>
      </c>
      <c r="AG370" s="1">
        <f t="shared" si="109"/>
        <v>0</v>
      </c>
      <c r="AH370" s="1">
        <f t="shared" si="110"/>
        <v>182.5</v>
      </c>
      <c r="AI370" s="5">
        <f t="shared" si="111"/>
        <v>0.5</v>
      </c>
      <c r="AJ370" s="5">
        <f t="shared" si="112"/>
        <v>0.45580137659783682</v>
      </c>
      <c r="AK370" s="5">
        <f t="shared" si="113"/>
        <v>0</v>
      </c>
      <c r="AL370" s="5">
        <f t="shared" si="114"/>
        <v>0</v>
      </c>
      <c r="AM370" s="5">
        <f t="shared" si="115"/>
        <v>0</v>
      </c>
      <c r="AN370" s="5">
        <f t="shared" si="116"/>
        <v>0</v>
      </c>
      <c r="AO370" s="1" t="s">
        <v>102</v>
      </c>
    </row>
    <row r="371" spans="1:41" x14ac:dyDescent="0.25">
      <c r="A371" s="1" t="s">
        <v>19</v>
      </c>
      <c r="B371" s="1" t="s">
        <v>37</v>
      </c>
      <c r="C371" s="1" t="s">
        <v>21</v>
      </c>
      <c r="D371" s="1" t="s">
        <v>38</v>
      </c>
      <c r="E371" s="1" t="s">
        <v>96</v>
      </c>
      <c r="F371" s="1" t="s">
        <v>103</v>
      </c>
      <c r="G371" s="1" t="s">
        <v>127</v>
      </c>
      <c r="H371" s="1" t="s">
        <v>518</v>
      </c>
      <c r="I371" s="1" t="s">
        <v>162</v>
      </c>
      <c r="J371" s="1" t="s">
        <v>101</v>
      </c>
      <c r="L371" s="1">
        <v>1980923</v>
      </c>
      <c r="M371" s="1" t="s">
        <v>564</v>
      </c>
      <c r="N371" s="8">
        <f t="shared" si="118"/>
        <v>42075</v>
      </c>
      <c r="O371" s="8">
        <f>DATE(2017,12,22)</f>
        <v>43091</v>
      </c>
      <c r="P371" s="1">
        <v>2246</v>
      </c>
      <c r="Q371" s="1">
        <v>2000</v>
      </c>
      <c r="R371" s="1">
        <f t="shared" si="99"/>
        <v>2000</v>
      </c>
      <c r="S371" s="1">
        <v>1.5</v>
      </c>
      <c r="U371" s="1">
        <f t="shared" si="100"/>
        <v>1017</v>
      </c>
      <c r="V371" s="7">
        <f t="shared" si="101"/>
        <v>1.9665683382497541</v>
      </c>
      <c r="W371" s="7">
        <f t="shared" si="102"/>
        <v>717.79744346116024</v>
      </c>
      <c r="X371" s="7">
        <f t="shared" si="103"/>
        <v>0.89724680432645032</v>
      </c>
      <c r="AA371" s="8">
        <f t="shared" si="104"/>
        <v>44927</v>
      </c>
      <c r="AB371" s="8">
        <f t="shared" si="105"/>
        <v>45291</v>
      </c>
      <c r="AC371" s="1">
        <v>4</v>
      </c>
      <c r="AD371" s="1">
        <f t="shared" si="106"/>
        <v>0</v>
      </c>
      <c r="AE371" s="1">
        <f t="shared" si="107"/>
        <v>0</v>
      </c>
      <c r="AF371" s="1">
        <f t="shared" si="108"/>
        <v>0</v>
      </c>
      <c r="AG371" s="1">
        <f t="shared" si="109"/>
        <v>0</v>
      </c>
      <c r="AH371" s="1">
        <f t="shared" si="110"/>
        <v>182.5</v>
      </c>
      <c r="AI371" s="5">
        <f t="shared" si="111"/>
        <v>0.5</v>
      </c>
      <c r="AJ371" s="5">
        <f t="shared" si="112"/>
        <v>0.44862340216322516</v>
      </c>
      <c r="AK371" s="5">
        <f t="shared" si="113"/>
        <v>0</v>
      </c>
      <c r="AL371" s="5">
        <f t="shared" si="114"/>
        <v>0</v>
      </c>
      <c r="AM371" s="5">
        <f t="shared" si="115"/>
        <v>0</v>
      </c>
      <c r="AN371" s="5">
        <f t="shared" si="116"/>
        <v>0</v>
      </c>
      <c r="AO371" s="1" t="s">
        <v>102</v>
      </c>
    </row>
    <row r="372" spans="1:41" x14ac:dyDescent="0.25">
      <c r="A372" s="1" t="s">
        <v>19</v>
      </c>
      <c r="B372" s="1" t="s">
        <v>37</v>
      </c>
      <c r="C372" s="1" t="s">
        <v>21</v>
      </c>
      <c r="D372" s="1" t="s">
        <v>38</v>
      </c>
      <c r="E372" s="1" t="s">
        <v>96</v>
      </c>
      <c r="F372" s="1" t="s">
        <v>103</v>
      </c>
      <c r="G372" s="1" t="s">
        <v>127</v>
      </c>
      <c r="H372" s="1" t="s">
        <v>528</v>
      </c>
      <c r="I372" s="1" t="s">
        <v>162</v>
      </c>
      <c r="J372" s="1" t="s">
        <v>101</v>
      </c>
      <c r="L372" s="1">
        <v>1980924</v>
      </c>
      <c r="M372" s="1" t="s">
        <v>565</v>
      </c>
      <c r="N372" s="8">
        <f t="shared" si="118"/>
        <v>42075</v>
      </c>
      <c r="O372" s="8">
        <f>DATE(2017,12,22)</f>
        <v>43091</v>
      </c>
      <c r="P372" s="1">
        <v>2280</v>
      </c>
      <c r="Q372" s="1">
        <v>2000</v>
      </c>
      <c r="R372" s="1">
        <f t="shared" si="99"/>
        <v>2000</v>
      </c>
      <c r="S372" s="1">
        <v>1</v>
      </c>
      <c r="U372" s="1">
        <f t="shared" si="100"/>
        <v>1017</v>
      </c>
      <c r="V372" s="7">
        <f t="shared" si="101"/>
        <v>1.9665683382497541</v>
      </c>
      <c r="W372" s="7">
        <f t="shared" si="102"/>
        <v>717.79744346116024</v>
      </c>
      <c r="X372" s="7">
        <f t="shared" si="103"/>
        <v>0.89724680432645032</v>
      </c>
      <c r="AA372" s="8">
        <f t="shared" si="104"/>
        <v>44927</v>
      </c>
      <c r="AB372" s="8">
        <f t="shared" si="105"/>
        <v>45291</v>
      </c>
      <c r="AC372" s="1">
        <v>1</v>
      </c>
      <c r="AD372" s="1">
        <f t="shared" si="106"/>
        <v>0</v>
      </c>
      <c r="AE372" s="1">
        <f t="shared" si="107"/>
        <v>0</v>
      </c>
      <c r="AF372" s="1">
        <f t="shared" si="108"/>
        <v>0</v>
      </c>
      <c r="AG372" s="1">
        <f t="shared" si="109"/>
        <v>0</v>
      </c>
      <c r="AH372" s="1">
        <f t="shared" si="110"/>
        <v>182.5</v>
      </c>
      <c r="AI372" s="5">
        <f t="shared" si="111"/>
        <v>0.5</v>
      </c>
      <c r="AJ372" s="5">
        <f t="shared" si="112"/>
        <v>0.44862340216322516</v>
      </c>
      <c r="AK372" s="5">
        <f t="shared" si="113"/>
        <v>0</v>
      </c>
      <c r="AL372" s="5">
        <f t="shared" si="114"/>
        <v>0</v>
      </c>
      <c r="AM372" s="5">
        <f t="shared" si="115"/>
        <v>0</v>
      </c>
      <c r="AN372" s="5">
        <f t="shared" si="116"/>
        <v>0</v>
      </c>
      <c r="AO372" s="1" t="s">
        <v>102</v>
      </c>
    </row>
    <row r="373" spans="1:41" x14ac:dyDescent="0.25">
      <c r="A373" s="1" t="s">
        <v>19</v>
      </c>
      <c r="B373" s="1" t="s">
        <v>37</v>
      </c>
      <c r="C373" s="1" t="s">
        <v>21</v>
      </c>
      <c r="D373" s="1" t="s">
        <v>38</v>
      </c>
      <c r="E373" s="1" t="s">
        <v>172</v>
      </c>
      <c r="F373" s="1" t="s">
        <v>534</v>
      </c>
      <c r="G373" s="1" t="s">
        <v>127</v>
      </c>
      <c r="H373" s="1" t="s">
        <v>528</v>
      </c>
      <c r="I373" s="1" t="s">
        <v>162</v>
      </c>
      <c r="J373" s="1" t="s">
        <v>101</v>
      </c>
      <c r="L373" s="1">
        <v>1982168</v>
      </c>
      <c r="M373" s="1" t="s">
        <v>565</v>
      </c>
      <c r="N373" s="8">
        <f t="shared" si="118"/>
        <v>42075</v>
      </c>
      <c r="O373" s="8">
        <f>DATE(2017,12,22)</f>
        <v>43091</v>
      </c>
      <c r="P373" s="1">
        <v>2340</v>
      </c>
      <c r="Q373" s="1">
        <v>2000</v>
      </c>
      <c r="R373" s="1">
        <f t="shared" si="99"/>
        <v>2000</v>
      </c>
      <c r="S373" s="1">
        <v>1</v>
      </c>
      <c r="U373" s="1">
        <f t="shared" si="100"/>
        <v>1017</v>
      </c>
      <c r="V373" s="7">
        <f t="shared" si="101"/>
        <v>1.9665683382497541</v>
      </c>
      <c r="W373" s="7">
        <f t="shared" si="102"/>
        <v>717.79744346116024</v>
      </c>
      <c r="X373" s="7">
        <f t="shared" si="103"/>
        <v>0.89724680432645032</v>
      </c>
      <c r="AA373" s="8">
        <f t="shared" si="104"/>
        <v>44927</v>
      </c>
      <c r="AB373" s="8">
        <f t="shared" si="105"/>
        <v>45291</v>
      </c>
      <c r="AC373" s="1">
        <v>0</v>
      </c>
      <c r="AD373" s="1">
        <f t="shared" si="106"/>
        <v>0</v>
      </c>
      <c r="AE373" s="1">
        <f t="shared" si="107"/>
        <v>0</v>
      </c>
      <c r="AF373" s="1">
        <f t="shared" si="108"/>
        <v>0</v>
      </c>
      <c r="AG373" s="1">
        <f t="shared" si="109"/>
        <v>0</v>
      </c>
      <c r="AH373" s="1">
        <f t="shared" si="110"/>
        <v>182.5</v>
      </c>
      <c r="AI373" s="5">
        <f t="shared" si="111"/>
        <v>0.5</v>
      </c>
      <c r="AJ373" s="5">
        <f t="shared" si="112"/>
        <v>0.44862340216322516</v>
      </c>
      <c r="AK373" s="5">
        <f t="shared" si="113"/>
        <v>0</v>
      </c>
      <c r="AL373" s="5">
        <f t="shared" si="114"/>
        <v>0</v>
      </c>
      <c r="AM373" s="5">
        <f t="shared" si="115"/>
        <v>0</v>
      </c>
      <c r="AN373" s="5">
        <f t="shared" si="116"/>
        <v>0</v>
      </c>
      <c r="AO373" s="1" t="s">
        <v>111</v>
      </c>
    </row>
    <row r="374" spans="1:41" x14ac:dyDescent="0.25">
      <c r="A374" s="1" t="s">
        <v>19</v>
      </c>
      <c r="B374" s="1" t="s">
        <v>37</v>
      </c>
      <c r="C374" s="1" t="s">
        <v>21</v>
      </c>
      <c r="D374" s="1" t="s">
        <v>38</v>
      </c>
      <c r="E374" s="1" t="s">
        <v>96</v>
      </c>
      <c r="F374" s="1" t="s">
        <v>103</v>
      </c>
      <c r="G374" s="1" t="s">
        <v>98</v>
      </c>
      <c r="H374" s="1" t="s">
        <v>566</v>
      </c>
      <c r="I374" s="1" t="s">
        <v>336</v>
      </c>
      <c r="J374" s="1" t="s">
        <v>101</v>
      </c>
      <c r="L374" s="1">
        <v>2003819</v>
      </c>
      <c r="M374" s="1" t="s">
        <v>567</v>
      </c>
      <c r="N374" s="8">
        <f>DATE(2015,8,10)</f>
        <v>42226</v>
      </c>
      <c r="O374" s="8">
        <f>DATE(2019,6,14)</f>
        <v>43630</v>
      </c>
      <c r="P374" s="1">
        <v>4415</v>
      </c>
      <c r="Q374" s="1">
        <v>2400</v>
      </c>
      <c r="R374" s="1">
        <f t="shared" si="99"/>
        <v>2400</v>
      </c>
      <c r="S374" s="1">
        <v>1</v>
      </c>
      <c r="U374" s="1">
        <f t="shared" si="100"/>
        <v>1405</v>
      </c>
      <c r="V374" s="7">
        <f t="shared" si="101"/>
        <v>1.708185053380783</v>
      </c>
      <c r="W374" s="7">
        <f t="shared" si="102"/>
        <v>623.48754448398574</v>
      </c>
      <c r="X374" s="7">
        <f t="shared" si="103"/>
        <v>0.77935943060498214</v>
      </c>
      <c r="AA374" s="8">
        <f t="shared" si="104"/>
        <v>44927</v>
      </c>
      <c r="AB374" s="8">
        <f t="shared" si="105"/>
        <v>45291</v>
      </c>
      <c r="AC374" s="1">
        <v>1</v>
      </c>
      <c r="AD374" s="1">
        <f t="shared" si="106"/>
        <v>0</v>
      </c>
      <c r="AE374" s="1">
        <f t="shared" si="107"/>
        <v>0</v>
      </c>
      <c r="AF374" s="1">
        <f t="shared" si="108"/>
        <v>0</v>
      </c>
      <c r="AG374" s="1">
        <f t="shared" si="109"/>
        <v>0</v>
      </c>
      <c r="AH374" s="1">
        <f t="shared" si="110"/>
        <v>182.5</v>
      </c>
      <c r="AI374" s="5">
        <f t="shared" si="111"/>
        <v>0.5</v>
      </c>
      <c r="AJ374" s="5">
        <f t="shared" si="112"/>
        <v>0.38967971530249107</v>
      </c>
      <c r="AK374" s="5">
        <f t="shared" si="113"/>
        <v>0</v>
      </c>
      <c r="AL374" s="5">
        <f t="shared" si="114"/>
        <v>0</v>
      </c>
      <c r="AM374" s="5">
        <f t="shared" si="115"/>
        <v>0</v>
      </c>
      <c r="AN374" s="5">
        <f t="shared" si="116"/>
        <v>0</v>
      </c>
      <c r="AO374" s="1" t="s">
        <v>102</v>
      </c>
    </row>
    <row r="375" spans="1:41" x14ac:dyDescent="0.25">
      <c r="A375" s="1" t="s">
        <v>19</v>
      </c>
      <c r="B375" s="1" t="s">
        <v>37</v>
      </c>
      <c r="C375" s="1" t="s">
        <v>21</v>
      </c>
      <c r="D375" s="1" t="s">
        <v>38</v>
      </c>
      <c r="E375" s="1" t="s">
        <v>172</v>
      </c>
      <c r="F375" s="1" t="s">
        <v>534</v>
      </c>
      <c r="G375" s="1" t="s">
        <v>127</v>
      </c>
      <c r="H375" s="1" t="s">
        <v>528</v>
      </c>
      <c r="I375" s="1" t="s">
        <v>162</v>
      </c>
      <c r="J375" s="1" t="s">
        <v>101</v>
      </c>
      <c r="L375" s="1">
        <v>2001881</v>
      </c>
      <c r="M375" s="1" t="s">
        <v>568</v>
      </c>
      <c r="N375" s="8">
        <f>DATE(2015,11,4)</f>
        <v>42312</v>
      </c>
      <c r="O375" s="8">
        <f>DATE(2018,7,20)</f>
        <v>43301</v>
      </c>
      <c r="P375" s="1">
        <v>2340</v>
      </c>
      <c r="Q375" s="1">
        <v>2000</v>
      </c>
      <c r="R375" s="1">
        <f t="shared" si="99"/>
        <v>2000</v>
      </c>
      <c r="S375" s="1">
        <v>1</v>
      </c>
      <c r="U375" s="1">
        <f t="shared" si="100"/>
        <v>990</v>
      </c>
      <c r="V375" s="7">
        <f t="shared" si="101"/>
        <v>2.0202020202020203</v>
      </c>
      <c r="W375" s="7">
        <f t="shared" si="102"/>
        <v>737.37373737373741</v>
      </c>
      <c r="X375" s="7">
        <f t="shared" si="103"/>
        <v>0.92171717171717171</v>
      </c>
      <c r="AA375" s="8">
        <f t="shared" si="104"/>
        <v>44927</v>
      </c>
      <c r="AB375" s="8">
        <f t="shared" si="105"/>
        <v>45291</v>
      </c>
      <c r="AC375" s="1">
        <v>0</v>
      </c>
      <c r="AD375" s="1">
        <f t="shared" si="106"/>
        <v>0</v>
      </c>
      <c r="AE375" s="1">
        <f t="shared" si="107"/>
        <v>0</v>
      </c>
      <c r="AF375" s="1">
        <f t="shared" si="108"/>
        <v>0</v>
      </c>
      <c r="AG375" s="1">
        <f t="shared" si="109"/>
        <v>0</v>
      </c>
      <c r="AH375" s="1">
        <f t="shared" si="110"/>
        <v>182.5</v>
      </c>
      <c r="AI375" s="5">
        <f t="shared" si="111"/>
        <v>0.5</v>
      </c>
      <c r="AJ375" s="5">
        <f t="shared" si="112"/>
        <v>0.46085858585858586</v>
      </c>
      <c r="AK375" s="5">
        <f t="shared" si="113"/>
        <v>0</v>
      </c>
      <c r="AL375" s="5">
        <f t="shared" si="114"/>
        <v>0</v>
      </c>
      <c r="AM375" s="5">
        <f t="shared" si="115"/>
        <v>0</v>
      </c>
      <c r="AN375" s="5">
        <f t="shared" si="116"/>
        <v>0</v>
      </c>
      <c r="AO375" s="1" t="s">
        <v>111</v>
      </c>
    </row>
    <row r="376" spans="1:41" x14ac:dyDescent="0.25">
      <c r="A376" s="1" t="s">
        <v>19</v>
      </c>
      <c r="B376" s="1" t="s">
        <v>37</v>
      </c>
      <c r="C376" s="1" t="s">
        <v>21</v>
      </c>
      <c r="D376" s="1" t="s">
        <v>38</v>
      </c>
      <c r="E376" s="1" t="s">
        <v>96</v>
      </c>
      <c r="F376" s="1" t="s">
        <v>103</v>
      </c>
      <c r="G376" s="1" t="s">
        <v>114</v>
      </c>
      <c r="H376" s="1" t="s">
        <v>569</v>
      </c>
      <c r="I376" s="1" t="s">
        <v>331</v>
      </c>
      <c r="J376" s="1" t="s">
        <v>101</v>
      </c>
      <c r="K376" s="1" t="s">
        <v>175</v>
      </c>
      <c r="L376" s="1">
        <v>2003810</v>
      </c>
      <c r="M376" s="1" t="s">
        <v>570</v>
      </c>
      <c r="N376" s="8">
        <f>DATE(2015,11,26)</f>
        <v>42334</v>
      </c>
      <c r="O376" s="8">
        <f>DATE(2017,10,27)</f>
        <v>43035</v>
      </c>
      <c r="P376" s="1">
        <v>1294</v>
      </c>
      <c r="Q376" s="1">
        <v>1200</v>
      </c>
      <c r="R376" s="1">
        <f t="shared" si="99"/>
        <v>1200</v>
      </c>
      <c r="S376" s="1">
        <v>2.5</v>
      </c>
      <c r="U376" s="1">
        <f t="shared" si="100"/>
        <v>702</v>
      </c>
      <c r="V376" s="7">
        <f t="shared" si="101"/>
        <v>1.7094017094017093</v>
      </c>
      <c r="W376" s="7">
        <f t="shared" si="102"/>
        <v>623.9316239316239</v>
      </c>
      <c r="X376" s="7">
        <f t="shared" si="103"/>
        <v>0.77991452991452992</v>
      </c>
      <c r="AA376" s="8">
        <f t="shared" si="104"/>
        <v>44927</v>
      </c>
      <c r="AB376" s="8">
        <f t="shared" si="105"/>
        <v>45291</v>
      </c>
      <c r="AC376" s="1">
        <v>1</v>
      </c>
      <c r="AD376" s="1">
        <f t="shared" si="106"/>
        <v>0</v>
      </c>
      <c r="AE376" s="1">
        <f t="shared" si="107"/>
        <v>0</v>
      </c>
      <c r="AF376" s="1">
        <f t="shared" si="108"/>
        <v>0</v>
      </c>
      <c r="AG376" s="1">
        <f t="shared" si="109"/>
        <v>0</v>
      </c>
      <c r="AH376" s="1">
        <f t="shared" si="110"/>
        <v>182.5</v>
      </c>
      <c r="AI376" s="5">
        <f t="shared" si="111"/>
        <v>0.5</v>
      </c>
      <c r="AJ376" s="5">
        <f t="shared" si="112"/>
        <v>0.38995726495726496</v>
      </c>
      <c r="AK376" s="5">
        <f t="shared" si="113"/>
        <v>0</v>
      </c>
      <c r="AL376" s="5">
        <f t="shared" si="114"/>
        <v>0</v>
      </c>
      <c r="AM376" s="5">
        <f t="shared" si="115"/>
        <v>0</v>
      </c>
      <c r="AN376" s="5">
        <f t="shared" si="116"/>
        <v>0</v>
      </c>
      <c r="AO376" s="1" t="s">
        <v>102</v>
      </c>
    </row>
    <row r="377" spans="1:41" x14ac:dyDescent="0.25">
      <c r="A377" s="1" t="s">
        <v>19</v>
      </c>
      <c r="B377" s="1" t="s">
        <v>37</v>
      </c>
      <c r="C377" s="1" t="s">
        <v>21</v>
      </c>
      <c r="D377" s="1" t="s">
        <v>38</v>
      </c>
      <c r="E377" s="1" t="s">
        <v>96</v>
      </c>
      <c r="F377" s="1" t="s">
        <v>103</v>
      </c>
      <c r="G377" s="1" t="s">
        <v>127</v>
      </c>
      <c r="H377" s="1" t="s">
        <v>520</v>
      </c>
      <c r="I377" s="1" t="s">
        <v>210</v>
      </c>
      <c r="J377" s="1" t="s">
        <v>101</v>
      </c>
      <c r="L377" s="1">
        <v>2003815</v>
      </c>
      <c r="M377" s="1" t="s">
        <v>571</v>
      </c>
      <c r="N377" s="8">
        <f>DATE(2015,11,26)</f>
        <v>42334</v>
      </c>
      <c r="O377" s="8">
        <f>DATE(2018,12,23)</f>
        <v>43457</v>
      </c>
      <c r="P377" s="1">
        <v>2406</v>
      </c>
      <c r="Q377" s="1">
        <v>2400</v>
      </c>
      <c r="R377" s="1">
        <f t="shared" si="99"/>
        <v>2400</v>
      </c>
      <c r="S377" s="1">
        <v>2.5</v>
      </c>
      <c r="U377" s="1">
        <f t="shared" si="100"/>
        <v>1124</v>
      </c>
      <c r="V377" s="7">
        <f t="shared" si="101"/>
        <v>2.1352313167259784</v>
      </c>
      <c r="W377" s="7">
        <f t="shared" si="102"/>
        <v>779.35943060498209</v>
      </c>
      <c r="X377" s="7">
        <f t="shared" si="103"/>
        <v>0.97419928825622759</v>
      </c>
      <c r="AA377" s="8">
        <f t="shared" si="104"/>
        <v>44927</v>
      </c>
      <c r="AB377" s="8">
        <f t="shared" si="105"/>
        <v>45291</v>
      </c>
      <c r="AC377" s="1">
        <v>0</v>
      </c>
      <c r="AD377" s="1">
        <f t="shared" si="106"/>
        <v>0</v>
      </c>
      <c r="AE377" s="1">
        <f t="shared" si="107"/>
        <v>0</v>
      </c>
      <c r="AF377" s="1">
        <f t="shared" si="108"/>
        <v>0</v>
      </c>
      <c r="AG377" s="1">
        <f t="shared" si="109"/>
        <v>0</v>
      </c>
      <c r="AH377" s="1">
        <f t="shared" si="110"/>
        <v>182.5</v>
      </c>
      <c r="AI377" s="5">
        <f t="shared" si="111"/>
        <v>0.5</v>
      </c>
      <c r="AJ377" s="5">
        <f t="shared" si="112"/>
        <v>0.4870996441281138</v>
      </c>
      <c r="AK377" s="5">
        <f t="shared" si="113"/>
        <v>0</v>
      </c>
      <c r="AL377" s="5">
        <f t="shared" si="114"/>
        <v>0</v>
      </c>
      <c r="AM377" s="5">
        <f t="shared" si="115"/>
        <v>0</v>
      </c>
      <c r="AN377" s="5">
        <f t="shared" si="116"/>
        <v>0</v>
      </c>
      <c r="AO377" s="1" t="s">
        <v>102</v>
      </c>
    </row>
    <row r="378" spans="1:41" x14ac:dyDescent="0.25">
      <c r="A378" s="1" t="s">
        <v>19</v>
      </c>
      <c r="B378" s="1" t="s">
        <v>37</v>
      </c>
      <c r="C378" s="1" t="s">
        <v>21</v>
      </c>
      <c r="D378" s="1" t="s">
        <v>38</v>
      </c>
      <c r="E378" s="1" t="s">
        <v>96</v>
      </c>
      <c r="F378" s="1" t="s">
        <v>103</v>
      </c>
      <c r="G378" s="1" t="s">
        <v>98</v>
      </c>
      <c r="H378" s="1" t="s">
        <v>523</v>
      </c>
      <c r="I378" s="1" t="s">
        <v>100</v>
      </c>
      <c r="J378" s="1" t="s">
        <v>101</v>
      </c>
      <c r="L378" s="1">
        <v>2003816</v>
      </c>
      <c r="M378" s="1" t="s">
        <v>572</v>
      </c>
      <c r="N378" s="8">
        <f>DATE(2015,11,26)</f>
        <v>42334</v>
      </c>
      <c r="O378" s="8">
        <f>DATE(2018,8,17)</f>
        <v>43329</v>
      </c>
      <c r="P378" s="1">
        <v>2587</v>
      </c>
      <c r="Q378" s="1">
        <v>2400</v>
      </c>
      <c r="R378" s="1">
        <f t="shared" si="99"/>
        <v>2400</v>
      </c>
      <c r="S378" s="1">
        <v>1</v>
      </c>
      <c r="U378" s="1">
        <f t="shared" si="100"/>
        <v>996</v>
      </c>
      <c r="V378" s="7">
        <f t="shared" si="101"/>
        <v>2.4096385542168677</v>
      </c>
      <c r="W378" s="7">
        <f t="shared" si="102"/>
        <v>879.51807228915675</v>
      </c>
      <c r="X378" s="7">
        <f t="shared" si="103"/>
        <v>1.0993975903614459</v>
      </c>
      <c r="AA378" s="8">
        <f t="shared" si="104"/>
        <v>44927</v>
      </c>
      <c r="AB378" s="8">
        <f t="shared" si="105"/>
        <v>45291</v>
      </c>
      <c r="AC378" s="1">
        <v>1</v>
      </c>
      <c r="AD378" s="1">
        <f t="shared" si="106"/>
        <v>0</v>
      </c>
      <c r="AE378" s="1">
        <f t="shared" si="107"/>
        <v>0</v>
      </c>
      <c r="AF378" s="1">
        <f t="shared" si="108"/>
        <v>0</v>
      </c>
      <c r="AG378" s="1">
        <f t="shared" si="109"/>
        <v>0</v>
      </c>
      <c r="AH378" s="1">
        <f t="shared" si="110"/>
        <v>182.5</v>
      </c>
      <c r="AI378" s="5">
        <f t="shared" si="111"/>
        <v>0.5</v>
      </c>
      <c r="AJ378" s="5">
        <f t="shared" si="112"/>
        <v>0.54969879518072295</v>
      </c>
      <c r="AK378" s="5">
        <f t="shared" si="113"/>
        <v>0</v>
      </c>
      <c r="AL378" s="5">
        <f t="shared" si="114"/>
        <v>0</v>
      </c>
      <c r="AM378" s="5">
        <f t="shared" si="115"/>
        <v>0</v>
      </c>
      <c r="AN378" s="5">
        <f t="shared" si="116"/>
        <v>0</v>
      </c>
      <c r="AO378" s="1" t="s">
        <v>102</v>
      </c>
    </row>
    <row r="379" spans="1:41" x14ac:dyDescent="0.25">
      <c r="A379" s="1" t="s">
        <v>19</v>
      </c>
      <c r="B379" s="1" t="s">
        <v>37</v>
      </c>
      <c r="C379" s="1" t="s">
        <v>21</v>
      </c>
      <c r="D379" s="1" t="s">
        <v>38</v>
      </c>
      <c r="E379" s="1" t="s">
        <v>96</v>
      </c>
      <c r="F379" s="1" t="s">
        <v>103</v>
      </c>
      <c r="G379" s="1" t="s">
        <v>98</v>
      </c>
      <c r="H379" s="1" t="s">
        <v>542</v>
      </c>
      <c r="I379" s="1" t="s">
        <v>210</v>
      </c>
      <c r="J379" s="1" t="s">
        <v>101</v>
      </c>
      <c r="L379" s="1">
        <v>2003817</v>
      </c>
      <c r="M379" s="1" t="s">
        <v>573</v>
      </c>
      <c r="N379" s="8">
        <f>DATE(2015,11,26)</f>
        <v>42334</v>
      </c>
      <c r="O379" s="8">
        <f>DATE(2020,8,14)</f>
        <v>44057</v>
      </c>
      <c r="P379" s="1">
        <v>4610</v>
      </c>
      <c r="Q379" s="1">
        <v>3600</v>
      </c>
      <c r="R379" s="1">
        <f t="shared" si="99"/>
        <v>3600</v>
      </c>
      <c r="S379" s="1">
        <v>2.5</v>
      </c>
      <c r="U379" s="1">
        <f t="shared" si="100"/>
        <v>1724</v>
      </c>
      <c r="V379" s="7">
        <f t="shared" si="101"/>
        <v>2.0881670533642693</v>
      </c>
      <c r="W379" s="7">
        <f t="shared" si="102"/>
        <v>762.18097447795833</v>
      </c>
      <c r="X379" s="7">
        <f t="shared" si="103"/>
        <v>0.95272621809744795</v>
      </c>
      <c r="AA379" s="8">
        <f t="shared" si="104"/>
        <v>44927</v>
      </c>
      <c r="AB379" s="8">
        <f t="shared" si="105"/>
        <v>45291</v>
      </c>
      <c r="AC379" s="1">
        <v>3</v>
      </c>
      <c r="AD379" s="1">
        <f t="shared" si="106"/>
        <v>0</v>
      </c>
      <c r="AE379" s="1">
        <f t="shared" si="107"/>
        <v>0</v>
      </c>
      <c r="AF379" s="1">
        <f t="shared" si="108"/>
        <v>0</v>
      </c>
      <c r="AG379" s="1">
        <f t="shared" si="109"/>
        <v>0</v>
      </c>
      <c r="AH379" s="1">
        <f t="shared" si="110"/>
        <v>182.5</v>
      </c>
      <c r="AI379" s="5">
        <f t="shared" si="111"/>
        <v>0.5</v>
      </c>
      <c r="AJ379" s="5">
        <f t="shared" si="112"/>
        <v>0.47636310904872398</v>
      </c>
      <c r="AK379" s="5">
        <f t="shared" si="113"/>
        <v>0.71454466357308599</v>
      </c>
      <c r="AL379" s="5">
        <f t="shared" si="114"/>
        <v>1.7863616589327149</v>
      </c>
      <c r="AM379" s="5">
        <f t="shared" si="115"/>
        <v>0</v>
      </c>
      <c r="AN379" s="5">
        <f t="shared" si="116"/>
        <v>1.7863616589327149</v>
      </c>
      <c r="AO379" s="1" t="s">
        <v>102</v>
      </c>
    </row>
    <row r="380" spans="1:41" x14ac:dyDescent="0.25">
      <c r="A380" s="1" t="s">
        <v>19</v>
      </c>
      <c r="B380" s="1" t="s">
        <v>37</v>
      </c>
      <c r="C380" s="1" t="s">
        <v>21</v>
      </c>
      <c r="D380" s="1" t="s">
        <v>38</v>
      </c>
      <c r="E380" s="1" t="s">
        <v>96</v>
      </c>
      <c r="F380" s="1" t="s">
        <v>103</v>
      </c>
      <c r="G380" s="1" t="s">
        <v>114</v>
      </c>
      <c r="H380" s="1" t="s">
        <v>574</v>
      </c>
      <c r="I380" s="1" t="s">
        <v>331</v>
      </c>
      <c r="J380" s="1" t="s">
        <v>101</v>
      </c>
      <c r="K380" s="1" t="s">
        <v>116</v>
      </c>
      <c r="L380" s="1">
        <v>2020754</v>
      </c>
      <c r="M380" s="1" t="s">
        <v>575</v>
      </c>
      <c r="N380" s="8">
        <f t="shared" ref="N380:N395" si="119">DATE(2016,5,12)</f>
        <v>42502</v>
      </c>
      <c r="O380" s="8">
        <f>DATE(2019,12,23)</f>
        <v>43822</v>
      </c>
      <c r="P380" s="1">
        <v>3672</v>
      </c>
      <c r="Q380" s="1">
        <v>1200</v>
      </c>
      <c r="R380" s="1">
        <f t="shared" ref="R380:R443" si="120">IF(OR(G380="QUALIFICACAO PROFISSIONAL (FIC)",G380="DOUTORADO"),P380,
    IF(ISNUMBER(FIND("PROEJA",K380)),2400,
        IF(K380="INTEGRADO",
            IF(Q380=800,3000,
                IF(Q380=1000,3100,
                    IF(Q380=1200,3200,Q380)
                )
            ),
            Q380
        )
    )
)</f>
        <v>3200</v>
      </c>
      <c r="S380" s="1">
        <v>2.5</v>
      </c>
      <c r="U380" s="1">
        <f t="shared" ref="U380:U443" si="121">O380-N380+1</f>
        <v>1321</v>
      </c>
      <c r="V380" s="7">
        <f t="shared" ref="V380:V443" si="122">IF(R380&gt;P380,P380,R380)/U380</f>
        <v>2.4224072672218018</v>
      </c>
      <c r="W380" s="7">
        <f t="shared" ref="W380:W443" si="123">IF(U380&gt;365,V380*365,R380)</f>
        <v>884.17865253595767</v>
      </c>
      <c r="X380" s="7">
        <f t="shared" ref="X380:X443" si="124">IF(U380&gt;365,W380/800,R380/800)</f>
        <v>1.1052233156699471</v>
      </c>
      <c r="AA380" s="8">
        <f t="shared" ref="AA380:AA443" si="125">DATE(2023,1,1)</f>
        <v>44927</v>
      </c>
      <c r="AB380" s="8">
        <f t="shared" ref="AB380:AB443" si="126">DATE(2023,12,31)</f>
        <v>45291</v>
      </c>
      <c r="AC380" s="1">
        <v>3</v>
      </c>
      <c r="AD380" s="1">
        <f t="shared" ref="AD380:AD443" si="127">IF(AND(N380&lt;AA380,O380&gt;AB380),AB380-AA380+1,0)</f>
        <v>0</v>
      </c>
      <c r="AE380" s="1">
        <f t="shared" ref="AE380:AE443" si="128">IF(AND(N380&gt;=AA380,O380&gt;AB380,N380&lt;AB380),AB380-N380+1,0)</f>
        <v>0</v>
      </c>
      <c r="AF380" s="1">
        <f t="shared" ref="AF380:AF443" si="129">IF(AND(N380&lt;AA380,O380&lt;=AB380,O380&gt;=AA380),O380-AA380+1,0)</f>
        <v>0</v>
      </c>
      <c r="AG380" s="1">
        <f t="shared" ref="AG380:AG443" si="130">IF(AND(N380&gt;=AA380,O380&lt;=AB380),O380-N380+1,0)</f>
        <v>0</v>
      </c>
      <c r="AH380" s="1">
        <f t="shared" ref="AH380:AH443" si="131">IF(AND(N380&lt;AA380,O380&lt;AA380),(AB380-AA380+1)/2,0)</f>
        <v>182.5</v>
      </c>
      <c r="AI380" s="5">
        <f t="shared" ref="AI380:AI443" si="132">SUM(AD380:AH380)/IF(U380&gt;=365,AB380-AA380+1,U380)</f>
        <v>0.5</v>
      </c>
      <c r="AJ380" s="5">
        <f t="shared" ref="AJ380:AJ443" si="133">X380*AI380</f>
        <v>0.55261165783497357</v>
      </c>
      <c r="AK380" s="5">
        <f t="shared" ref="AK380:AK443" si="134">IF(AH380=0,AJ380*AC380,IF(AA380-O380&gt;1095,0,AJ380*(AC380/2)))</f>
        <v>0</v>
      </c>
      <c r="AL380" s="5">
        <f t="shared" ref="AL380:AL443" si="135">AK380*S380</f>
        <v>0</v>
      </c>
      <c r="AM380" s="5">
        <f t="shared" ref="AM380:AM443" si="136">IF(J380="SIM",AL380*50%,0)</f>
        <v>0</v>
      </c>
      <c r="AN380" s="5">
        <f t="shared" ref="AN380:AN443" si="137">AL380+AM380</f>
        <v>0</v>
      </c>
      <c r="AO380" s="1" t="s">
        <v>102</v>
      </c>
    </row>
    <row r="381" spans="1:41" x14ac:dyDescent="0.25">
      <c r="A381" s="1" t="s">
        <v>19</v>
      </c>
      <c r="B381" s="1" t="s">
        <v>37</v>
      </c>
      <c r="C381" s="1" t="s">
        <v>21</v>
      </c>
      <c r="D381" s="1" t="s">
        <v>38</v>
      </c>
      <c r="E381" s="1" t="s">
        <v>96</v>
      </c>
      <c r="F381" s="1" t="s">
        <v>103</v>
      </c>
      <c r="G381" s="1" t="s">
        <v>114</v>
      </c>
      <c r="H381" s="1" t="s">
        <v>569</v>
      </c>
      <c r="I381" s="1" t="s">
        <v>331</v>
      </c>
      <c r="J381" s="1" t="s">
        <v>101</v>
      </c>
      <c r="K381" s="1" t="s">
        <v>116</v>
      </c>
      <c r="L381" s="1">
        <v>2020902</v>
      </c>
      <c r="M381" s="1" t="s">
        <v>576</v>
      </c>
      <c r="N381" s="8">
        <f t="shared" si="119"/>
        <v>42502</v>
      </c>
      <c r="O381" s="8">
        <f>DATE(2019,12,23)</f>
        <v>43822</v>
      </c>
      <c r="P381" s="1">
        <v>3672</v>
      </c>
      <c r="Q381" s="1">
        <v>1200</v>
      </c>
      <c r="R381" s="1">
        <f t="shared" si="120"/>
        <v>3200</v>
      </c>
      <c r="S381" s="1">
        <v>2.5</v>
      </c>
      <c r="U381" s="1">
        <f t="shared" si="121"/>
        <v>1321</v>
      </c>
      <c r="V381" s="7">
        <f t="shared" si="122"/>
        <v>2.4224072672218018</v>
      </c>
      <c r="W381" s="7">
        <f t="shared" si="123"/>
        <v>884.17865253595767</v>
      </c>
      <c r="X381" s="7">
        <f t="shared" si="124"/>
        <v>1.1052233156699471</v>
      </c>
      <c r="AA381" s="8">
        <f t="shared" si="125"/>
        <v>44927</v>
      </c>
      <c r="AB381" s="8">
        <f t="shared" si="126"/>
        <v>45291</v>
      </c>
      <c r="AC381" s="1">
        <v>1</v>
      </c>
      <c r="AD381" s="1">
        <f t="shared" si="127"/>
        <v>0</v>
      </c>
      <c r="AE381" s="1">
        <f t="shared" si="128"/>
        <v>0</v>
      </c>
      <c r="AF381" s="1">
        <f t="shared" si="129"/>
        <v>0</v>
      </c>
      <c r="AG381" s="1">
        <f t="shared" si="130"/>
        <v>0</v>
      </c>
      <c r="AH381" s="1">
        <f t="shared" si="131"/>
        <v>182.5</v>
      </c>
      <c r="AI381" s="5">
        <f t="shared" si="132"/>
        <v>0.5</v>
      </c>
      <c r="AJ381" s="5">
        <f t="shared" si="133"/>
        <v>0.55261165783497357</v>
      </c>
      <c r="AK381" s="5">
        <f t="shared" si="134"/>
        <v>0</v>
      </c>
      <c r="AL381" s="5">
        <f t="shared" si="135"/>
        <v>0</v>
      </c>
      <c r="AM381" s="5">
        <f t="shared" si="136"/>
        <v>0</v>
      </c>
      <c r="AN381" s="5">
        <f t="shared" si="137"/>
        <v>0</v>
      </c>
      <c r="AO381" s="1" t="s">
        <v>102</v>
      </c>
    </row>
    <row r="382" spans="1:41" x14ac:dyDescent="0.25">
      <c r="A382" s="1" t="s">
        <v>19</v>
      </c>
      <c r="B382" s="1" t="s">
        <v>37</v>
      </c>
      <c r="C382" s="1" t="s">
        <v>21</v>
      </c>
      <c r="D382" s="1" t="s">
        <v>38</v>
      </c>
      <c r="E382" s="1" t="s">
        <v>96</v>
      </c>
      <c r="F382" s="1" t="s">
        <v>103</v>
      </c>
      <c r="G382" s="1" t="s">
        <v>114</v>
      </c>
      <c r="H382" s="1" t="s">
        <v>577</v>
      </c>
      <c r="I382" s="1" t="s">
        <v>336</v>
      </c>
      <c r="J382" s="1" t="s">
        <v>101</v>
      </c>
      <c r="K382" s="1" t="s">
        <v>116</v>
      </c>
      <c r="L382" s="1">
        <v>2020904</v>
      </c>
      <c r="M382" s="1" t="s">
        <v>578</v>
      </c>
      <c r="N382" s="8">
        <f t="shared" si="119"/>
        <v>42502</v>
      </c>
      <c r="O382" s="8">
        <f>DATE(2018,12,22)</f>
        <v>43456</v>
      </c>
      <c r="P382" s="1">
        <v>3306</v>
      </c>
      <c r="Q382" s="1">
        <v>800</v>
      </c>
      <c r="R382" s="1">
        <f t="shared" si="120"/>
        <v>3000</v>
      </c>
      <c r="S382" s="1">
        <v>1.5</v>
      </c>
      <c r="U382" s="1">
        <f t="shared" si="121"/>
        <v>955</v>
      </c>
      <c r="V382" s="7">
        <f t="shared" si="122"/>
        <v>3.1413612565445028</v>
      </c>
      <c r="W382" s="7">
        <f t="shared" si="123"/>
        <v>1146.5968586387435</v>
      </c>
      <c r="X382" s="7">
        <f t="shared" si="124"/>
        <v>1.4332460732984293</v>
      </c>
      <c r="AA382" s="8">
        <f t="shared" si="125"/>
        <v>44927</v>
      </c>
      <c r="AB382" s="8">
        <f t="shared" si="126"/>
        <v>45291</v>
      </c>
      <c r="AC382" s="1">
        <v>2</v>
      </c>
      <c r="AD382" s="1">
        <f t="shared" si="127"/>
        <v>0</v>
      </c>
      <c r="AE382" s="1">
        <f t="shared" si="128"/>
        <v>0</v>
      </c>
      <c r="AF382" s="1">
        <f t="shared" si="129"/>
        <v>0</v>
      </c>
      <c r="AG382" s="1">
        <f t="shared" si="130"/>
        <v>0</v>
      </c>
      <c r="AH382" s="1">
        <f t="shared" si="131"/>
        <v>182.5</v>
      </c>
      <c r="AI382" s="5">
        <f t="shared" si="132"/>
        <v>0.5</v>
      </c>
      <c r="AJ382" s="5">
        <f t="shared" si="133"/>
        <v>0.71662303664921467</v>
      </c>
      <c r="AK382" s="5">
        <f t="shared" si="134"/>
        <v>0</v>
      </c>
      <c r="AL382" s="5">
        <f t="shared" si="135"/>
        <v>0</v>
      </c>
      <c r="AM382" s="5">
        <f t="shared" si="136"/>
        <v>0</v>
      </c>
      <c r="AN382" s="5">
        <f t="shared" si="137"/>
        <v>0</v>
      </c>
      <c r="AO382" s="1" t="s">
        <v>102</v>
      </c>
    </row>
    <row r="383" spans="1:41" x14ac:dyDescent="0.25">
      <c r="A383" s="1" t="s">
        <v>19</v>
      </c>
      <c r="B383" s="1" t="s">
        <v>37</v>
      </c>
      <c r="C383" s="1" t="s">
        <v>21</v>
      </c>
      <c r="D383" s="1" t="s">
        <v>38</v>
      </c>
      <c r="E383" s="1" t="s">
        <v>96</v>
      </c>
      <c r="F383" s="1" t="s">
        <v>103</v>
      </c>
      <c r="G383" s="1" t="s">
        <v>114</v>
      </c>
      <c r="H383" s="1" t="s">
        <v>247</v>
      </c>
      <c r="I383" s="1" t="s">
        <v>162</v>
      </c>
      <c r="J383" s="1" t="s">
        <v>101</v>
      </c>
      <c r="K383" s="1" t="s">
        <v>116</v>
      </c>
      <c r="L383" s="1">
        <v>2020931</v>
      </c>
      <c r="M383" s="1" t="s">
        <v>579</v>
      </c>
      <c r="N383" s="8">
        <f t="shared" si="119"/>
        <v>42502</v>
      </c>
      <c r="O383" s="8">
        <f>DATE(2018,12,22)</f>
        <v>43456</v>
      </c>
      <c r="P383" s="1">
        <v>3604</v>
      </c>
      <c r="Q383" s="1">
        <v>1200</v>
      </c>
      <c r="R383" s="1">
        <f t="shared" si="120"/>
        <v>3200</v>
      </c>
      <c r="S383" s="1">
        <v>1.5</v>
      </c>
      <c r="U383" s="1">
        <f t="shared" si="121"/>
        <v>955</v>
      </c>
      <c r="V383" s="7">
        <f t="shared" si="122"/>
        <v>3.3507853403141361</v>
      </c>
      <c r="W383" s="7">
        <f t="shared" si="123"/>
        <v>1223.0366492146597</v>
      </c>
      <c r="X383" s="7">
        <f t="shared" si="124"/>
        <v>1.5287958115183247</v>
      </c>
      <c r="AA383" s="8">
        <f t="shared" si="125"/>
        <v>44927</v>
      </c>
      <c r="AB383" s="8">
        <f t="shared" si="126"/>
        <v>45291</v>
      </c>
      <c r="AC383" s="1">
        <v>1</v>
      </c>
      <c r="AD383" s="1">
        <f t="shared" si="127"/>
        <v>0</v>
      </c>
      <c r="AE383" s="1">
        <f t="shared" si="128"/>
        <v>0</v>
      </c>
      <c r="AF383" s="1">
        <f t="shared" si="129"/>
        <v>0</v>
      </c>
      <c r="AG383" s="1">
        <f t="shared" si="130"/>
        <v>0</v>
      </c>
      <c r="AH383" s="1">
        <f t="shared" si="131"/>
        <v>182.5</v>
      </c>
      <c r="AI383" s="5">
        <f t="shared" si="132"/>
        <v>0.5</v>
      </c>
      <c r="AJ383" s="5">
        <f t="shared" si="133"/>
        <v>0.76439790575916233</v>
      </c>
      <c r="AK383" s="5">
        <f t="shared" si="134"/>
        <v>0</v>
      </c>
      <c r="AL383" s="5">
        <f t="shared" si="135"/>
        <v>0</v>
      </c>
      <c r="AM383" s="5">
        <f t="shared" si="136"/>
        <v>0</v>
      </c>
      <c r="AN383" s="5">
        <f t="shared" si="137"/>
        <v>0</v>
      </c>
      <c r="AO383" s="1" t="s">
        <v>102</v>
      </c>
    </row>
    <row r="384" spans="1:41" x14ac:dyDescent="0.25">
      <c r="A384" s="1" t="s">
        <v>19</v>
      </c>
      <c r="B384" s="1" t="s">
        <v>37</v>
      </c>
      <c r="C384" s="1" t="s">
        <v>21</v>
      </c>
      <c r="D384" s="1" t="s">
        <v>38</v>
      </c>
      <c r="E384" s="1" t="s">
        <v>96</v>
      </c>
      <c r="F384" s="1" t="s">
        <v>103</v>
      </c>
      <c r="G384" s="1" t="s">
        <v>98</v>
      </c>
      <c r="H384" s="1" t="s">
        <v>542</v>
      </c>
      <c r="I384" s="1" t="s">
        <v>210</v>
      </c>
      <c r="J384" s="1" t="s">
        <v>101</v>
      </c>
      <c r="L384" s="1">
        <v>2021419</v>
      </c>
      <c r="M384" s="1" t="s">
        <v>580</v>
      </c>
      <c r="N384" s="8">
        <f t="shared" si="119"/>
        <v>42502</v>
      </c>
      <c r="O384" s="8">
        <f>DATE(2020,12,23)</f>
        <v>44188</v>
      </c>
      <c r="P384" s="1">
        <v>4610</v>
      </c>
      <c r="Q384" s="1">
        <v>3600</v>
      </c>
      <c r="R384" s="1">
        <f t="shared" si="120"/>
        <v>3600</v>
      </c>
      <c r="S384" s="1">
        <v>2.5</v>
      </c>
      <c r="U384" s="1">
        <f t="shared" si="121"/>
        <v>1687</v>
      </c>
      <c r="V384" s="7">
        <f t="shared" si="122"/>
        <v>2.1339656194427978</v>
      </c>
      <c r="W384" s="7">
        <f t="shared" si="123"/>
        <v>778.89745109662124</v>
      </c>
      <c r="X384" s="7">
        <f t="shared" si="124"/>
        <v>0.97362181387077651</v>
      </c>
      <c r="AA384" s="8">
        <f t="shared" si="125"/>
        <v>44927</v>
      </c>
      <c r="AB384" s="8">
        <f t="shared" si="126"/>
        <v>45291</v>
      </c>
      <c r="AC384" s="1">
        <v>7</v>
      </c>
      <c r="AD384" s="1">
        <f t="shared" si="127"/>
        <v>0</v>
      </c>
      <c r="AE384" s="1">
        <f t="shared" si="128"/>
        <v>0</v>
      </c>
      <c r="AF384" s="1">
        <f t="shared" si="129"/>
        <v>0</v>
      </c>
      <c r="AG384" s="1">
        <f t="shared" si="130"/>
        <v>0</v>
      </c>
      <c r="AH384" s="1">
        <f t="shared" si="131"/>
        <v>182.5</v>
      </c>
      <c r="AI384" s="5">
        <f t="shared" si="132"/>
        <v>0.5</v>
      </c>
      <c r="AJ384" s="5">
        <f t="shared" si="133"/>
        <v>0.48681090693538825</v>
      </c>
      <c r="AK384" s="5">
        <f t="shared" si="134"/>
        <v>1.7038381742738589</v>
      </c>
      <c r="AL384" s="5">
        <f t="shared" si="135"/>
        <v>4.2595954356846475</v>
      </c>
      <c r="AM384" s="5">
        <f t="shared" si="136"/>
        <v>0</v>
      </c>
      <c r="AN384" s="5">
        <f t="shared" si="137"/>
        <v>4.2595954356846475</v>
      </c>
      <c r="AO384" s="1" t="s">
        <v>102</v>
      </c>
    </row>
    <row r="385" spans="1:41" x14ac:dyDescent="0.25">
      <c r="A385" s="1" t="s">
        <v>19</v>
      </c>
      <c r="B385" s="1" t="s">
        <v>37</v>
      </c>
      <c r="C385" s="1" t="s">
        <v>21</v>
      </c>
      <c r="D385" s="1" t="s">
        <v>38</v>
      </c>
      <c r="E385" s="1" t="s">
        <v>96</v>
      </c>
      <c r="F385" s="1" t="s">
        <v>103</v>
      </c>
      <c r="G385" s="1" t="s">
        <v>98</v>
      </c>
      <c r="H385" s="1" t="s">
        <v>537</v>
      </c>
      <c r="I385" s="1" t="s">
        <v>162</v>
      </c>
      <c r="J385" s="1" t="s">
        <v>101</v>
      </c>
      <c r="L385" s="1">
        <v>2021421</v>
      </c>
      <c r="M385" s="1" t="s">
        <v>581</v>
      </c>
      <c r="N385" s="8">
        <f t="shared" si="119"/>
        <v>42502</v>
      </c>
      <c r="O385" s="8">
        <f>DATE(2020,12,23)</f>
        <v>44188</v>
      </c>
      <c r="P385" s="1">
        <v>4430</v>
      </c>
      <c r="Q385" s="1">
        <v>3200</v>
      </c>
      <c r="R385" s="1">
        <f t="shared" si="120"/>
        <v>3200</v>
      </c>
      <c r="S385" s="1">
        <v>2.5</v>
      </c>
      <c r="U385" s="1">
        <f t="shared" si="121"/>
        <v>1687</v>
      </c>
      <c r="V385" s="7">
        <f t="shared" si="122"/>
        <v>1.896858328393598</v>
      </c>
      <c r="W385" s="7">
        <f t="shared" si="123"/>
        <v>692.35328986366324</v>
      </c>
      <c r="X385" s="7">
        <f t="shared" si="124"/>
        <v>0.86544161232957906</v>
      </c>
      <c r="AA385" s="8">
        <f t="shared" si="125"/>
        <v>44927</v>
      </c>
      <c r="AB385" s="8">
        <f t="shared" si="126"/>
        <v>45291</v>
      </c>
      <c r="AC385" s="1">
        <v>7</v>
      </c>
      <c r="AD385" s="1">
        <f t="shared" si="127"/>
        <v>0</v>
      </c>
      <c r="AE385" s="1">
        <f t="shared" si="128"/>
        <v>0</v>
      </c>
      <c r="AF385" s="1">
        <f t="shared" si="129"/>
        <v>0</v>
      </c>
      <c r="AG385" s="1">
        <f t="shared" si="130"/>
        <v>0</v>
      </c>
      <c r="AH385" s="1">
        <f t="shared" si="131"/>
        <v>182.5</v>
      </c>
      <c r="AI385" s="5">
        <f t="shared" si="132"/>
        <v>0.5</v>
      </c>
      <c r="AJ385" s="5">
        <f t="shared" si="133"/>
        <v>0.43272080616478953</v>
      </c>
      <c r="AK385" s="5">
        <f t="shared" si="134"/>
        <v>1.5145228215767634</v>
      </c>
      <c r="AL385" s="5">
        <f t="shared" si="135"/>
        <v>3.7863070539419086</v>
      </c>
      <c r="AM385" s="5">
        <f t="shared" si="136"/>
        <v>0</v>
      </c>
      <c r="AN385" s="5">
        <f t="shared" si="137"/>
        <v>3.7863070539419086</v>
      </c>
      <c r="AO385" s="1" t="s">
        <v>102</v>
      </c>
    </row>
    <row r="386" spans="1:41" x14ac:dyDescent="0.25">
      <c r="A386" s="1" t="s">
        <v>19</v>
      </c>
      <c r="B386" s="1" t="s">
        <v>37</v>
      </c>
      <c r="C386" s="1" t="s">
        <v>21</v>
      </c>
      <c r="D386" s="1" t="s">
        <v>38</v>
      </c>
      <c r="E386" s="1" t="s">
        <v>96</v>
      </c>
      <c r="F386" s="1" t="s">
        <v>103</v>
      </c>
      <c r="G386" s="1" t="s">
        <v>98</v>
      </c>
      <c r="H386" s="1" t="s">
        <v>523</v>
      </c>
      <c r="I386" s="1" t="s">
        <v>100</v>
      </c>
      <c r="J386" s="1" t="s">
        <v>101</v>
      </c>
      <c r="L386" s="1">
        <v>2021423</v>
      </c>
      <c r="M386" s="1" t="s">
        <v>582</v>
      </c>
      <c r="N386" s="8">
        <f t="shared" si="119"/>
        <v>42502</v>
      </c>
      <c r="O386" s="8">
        <f>DATE(2018,12,22)</f>
        <v>43456</v>
      </c>
      <c r="P386" s="1">
        <v>2587</v>
      </c>
      <c r="Q386" s="1">
        <v>2400</v>
      </c>
      <c r="R386" s="1">
        <f t="shared" si="120"/>
        <v>2400</v>
      </c>
      <c r="S386" s="1">
        <v>1</v>
      </c>
      <c r="U386" s="1">
        <f t="shared" si="121"/>
        <v>955</v>
      </c>
      <c r="V386" s="7">
        <f t="shared" si="122"/>
        <v>2.5130890052356021</v>
      </c>
      <c r="W386" s="7">
        <f t="shared" si="123"/>
        <v>917.27748691099475</v>
      </c>
      <c r="X386" s="7">
        <f t="shared" si="124"/>
        <v>1.1465968586387434</v>
      </c>
      <c r="AA386" s="8">
        <f t="shared" si="125"/>
        <v>44927</v>
      </c>
      <c r="AB386" s="8">
        <f t="shared" si="126"/>
        <v>45291</v>
      </c>
      <c r="AC386" s="1">
        <v>2</v>
      </c>
      <c r="AD386" s="1">
        <f t="shared" si="127"/>
        <v>0</v>
      </c>
      <c r="AE386" s="1">
        <f t="shared" si="128"/>
        <v>0</v>
      </c>
      <c r="AF386" s="1">
        <f t="shared" si="129"/>
        <v>0</v>
      </c>
      <c r="AG386" s="1">
        <f t="shared" si="130"/>
        <v>0</v>
      </c>
      <c r="AH386" s="1">
        <f t="shared" si="131"/>
        <v>182.5</v>
      </c>
      <c r="AI386" s="5">
        <f t="shared" si="132"/>
        <v>0.5</v>
      </c>
      <c r="AJ386" s="5">
        <f t="shared" si="133"/>
        <v>0.57329842931937169</v>
      </c>
      <c r="AK386" s="5">
        <f t="shared" si="134"/>
        <v>0</v>
      </c>
      <c r="AL386" s="5">
        <f t="shared" si="135"/>
        <v>0</v>
      </c>
      <c r="AM386" s="5">
        <f t="shared" si="136"/>
        <v>0</v>
      </c>
      <c r="AN386" s="5">
        <f t="shared" si="137"/>
        <v>0</v>
      </c>
      <c r="AO386" s="1" t="s">
        <v>102</v>
      </c>
    </row>
    <row r="387" spans="1:41" x14ac:dyDescent="0.25">
      <c r="A387" s="1" t="s">
        <v>19</v>
      </c>
      <c r="B387" s="1" t="s">
        <v>37</v>
      </c>
      <c r="C387" s="1" t="s">
        <v>21</v>
      </c>
      <c r="D387" s="1" t="s">
        <v>38</v>
      </c>
      <c r="E387" s="1" t="s">
        <v>96</v>
      </c>
      <c r="F387" s="1" t="s">
        <v>103</v>
      </c>
      <c r="G387" s="1" t="s">
        <v>98</v>
      </c>
      <c r="H387" s="1" t="s">
        <v>566</v>
      </c>
      <c r="I387" s="1" t="s">
        <v>336</v>
      </c>
      <c r="J387" s="1" t="s">
        <v>101</v>
      </c>
      <c r="L387" s="1">
        <v>2021424</v>
      </c>
      <c r="M387" s="1" t="s">
        <v>583</v>
      </c>
      <c r="N387" s="8">
        <f t="shared" si="119"/>
        <v>42502</v>
      </c>
      <c r="O387" s="8">
        <f>DATE(2018,12,22)</f>
        <v>43456</v>
      </c>
      <c r="P387" s="1">
        <v>2668</v>
      </c>
      <c r="Q387" s="1">
        <v>2400</v>
      </c>
      <c r="R387" s="1">
        <f t="shared" si="120"/>
        <v>2400</v>
      </c>
      <c r="S387" s="1">
        <v>1</v>
      </c>
      <c r="U387" s="1">
        <f t="shared" si="121"/>
        <v>955</v>
      </c>
      <c r="V387" s="7">
        <f t="shared" si="122"/>
        <v>2.5130890052356021</v>
      </c>
      <c r="W387" s="7">
        <f t="shared" si="123"/>
        <v>917.27748691099475</v>
      </c>
      <c r="X387" s="7">
        <f t="shared" si="124"/>
        <v>1.1465968586387434</v>
      </c>
      <c r="AA387" s="8">
        <f t="shared" si="125"/>
        <v>44927</v>
      </c>
      <c r="AB387" s="8">
        <f t="shared" si="126"/>
        <v>45291</v>
      </c>
      <c r="AC387" s="1">
        <v>0</v>
      </c>
      <c r="AD387" s="1">
        <f t="shared" si="127"/>
        <v>0</v>
      </c>
      <c r="AE387" s="1">
        <f t="shared" si="128"/>
        <v>0</v>
      </c>
      <c r="AF387" s="1">
        <f t="shared" si="129"/>
        <v>0</v>
      </c>
      <c r="AG387" s="1">
        <f t="shared" si="130"/>
        <v>0</v>
      </c>
      <c r="AH387" s="1">
        <f t="shared" si="131"/>
        <v>182.5</v>
      </c>
      <c r="AI387" s="5">
        <f t="shared" si="132"/>
        <v>0.5</v>
      </c>
      <c r="AJ387" s="5">
        <f t="shared" si="133"/>
        <v>0.57329842931937169</v>
      </c>
      <c r="AK387" s="5">
        <f t="shared" si="134"/>
        <v>0</v>
      </c>
      <c r="AL387" s="5">
        <f t="shared" si="135"/>
        <v>0</v>
      </c>
      <c r="AM387" s="5">
        <f t="shared" si="136"/>
        <v>0</v>
      </c>
      <c r="AN387" s="5">
        <f t="shared" si="137"/>
        <v>0</v>
      </c>
      <c r="AO387" s="1" t="s">
        <v>102</v>
      </c>
    </row>
    <row r="388" spans="1:41" x14ac:dyDescent="0.25">
      <c r="A388" s="1" t="s">
        <v>19</v>
      </c>
      <c r="B388" s="1" t="s">
        <v>37</v>
      </c>
      <c r="C388" s="1" t="s">
        <v>21</v>
      </c>
      <c r="D388" s="1" t="s">
        <v>38</v>
      </c>
      <c r="E388" s="1" t="s">
        <v>96</v>
      </c>
      <c r="F388" s="1" t="s">
        <v>103</v>
      </c>
      <c r="G388" s="1" t="s">
        <v>127</v>
      </c>
      <c r="H388" s="1" t="s">
        <v>520</v>
      </c>
      <c r="I388" s="1" t="s">
        <v>210</v>
      </c>
      <c r="J388" s="1" t="s">
        <v>101</v>
      </c>
      <c r="L388" s="1">
        <v>2021426</v>
      </c>
      <c r="M388" s="1" t="s">
        <v>584</v>
      </c>
      <c r="N388" s="8">
        <f t="shared" si="119"/>
        <v>42502</v>
      </c>
      <c r="O388" s="8">
        <f>DATE(2019,7,19)</f>
        <v>43665</v>
      </c>
      <c r="P388" s="1">
        <v>2406</v>
      </c>
      <c r="Q388" s="1">
        <v>2400</v>
      </c>
      <c r="R388" s="1">
        <f t="shared" si="120"/>
        <v>2400</v>
      </c>
      <c r="S388" s="1">
        <v>2.5</v>
      </c>
      <c r="U388" s="1">
        <f t="shared" si="121"/>
        <v>1164</v>
      </c>
      <c r="V388" s="7">
        <f t="shared" si="122"/>
        <v>2.0618556701030926</v>
      </c>
      <c r="W388" s="7">
        <f t="shared" si="123"/>
        <v>752.57731958762884</v>
      </c>
      <c r="X388" s="7">
        <f t="shared" si="124"/>
        <v>0.94072164948453607</v>
      </c>
      <c r="AA388" s="8">
        <f t="shared" si="125"/>
        <v>44927</v>
      </c>
      <c r="AB388" s="8">
        <f t="shared" si="126"/>
        <v>45291</v>
      </c>
      <c r="AC388" s="1">
        <v>0</v>
      </c>
      <c r="AD388" s="1">
        <f t="shared" si="127"/>
        <v>0</v>
      </c>
      <c r="AE388" s="1">
        <f t="shared" si="128"/>
        <v>0</v>
      </c>
      <c r="AF388" s="1">
        <f t="shared" si="129"/>
        <v>0</v>
      </c>
      <c r="AG388" s="1">
        <f t="shared" si="130"/>
        <v>0</v>
      </c>
      <c r="AH388" s="1">
        <f t="shared" si="131"/>
        <v>182.5</v>
      </c>
      <c r="AI388" s="5">
        <f t="shared" si="132"/>
        <v>0.5</v>
      </c>
      <c r="AJ388" s="5">
        <f t="shared" si="133"/>
        <v>0.47036082474226804</v>
      </c>
      <c r="AK388" s="5">
        <f t="shared" si="134"/>
        <v>0</v>
      </c>
      <c r="AL388" s="5">
        <f t="shared" si="135"/>
        <v>0</v>
      </c>
      <c r="AM388" s="5">
        <f t="shared" si="136"/>
        <v>0</v>
      </c>
      <c r="AN388" s="5">
        <f t="shared" si="137"/>
        <v>0</v>
      </c>
      <c r="AO388" s="1" t="s">
        <v>102</v>
      </c>
    </row>
    <row r="389" spans="1:41" x14ac:dyDescent="0.25">
      <c r="A389" s="1" t="s">
        <v>19</v>
      </c>
      <c r="B389" s="1" t="s">
        <v>37</v>
      </c>
      <c r="C389" s="1" t="s">
        <v>21</v>
      </c>
      <c r="D389" s="1" t="s">
        <v>38</v>
      </c>
      <c r="E389" s="1" t="s">
        <v>96</v>
      </c>
      <c r="F389" s="1" t="s">
        <v>103</v>
      </c>
      <c r="G389" s="1" t="s">
        <v>127</v>
      </c>
      <c r="H389" s="1" t="s">
        <v>525</v>
      </c>
      <c r="I389" s="1" t="s">
        <v>331</v>
      </c>
      <c r="J389" s="1" t="s">
        <v>101</v>
      </c>
      <c r="L389" s="1">
        <v>2021427</v>
      </c>
      <c r="M389" s="1" t="s">
        <v>585</v>
      </c>
      <c r="N389" s="8">
        <f t="shared" si="119"/>
        <v>42502</v>
      </c>
      <c r="O389" s="8">
        <f>DATE(2018,12,22)</f>
        <v>43456</v>
      </c>
      <c r="P389" s="1">
        <v>2416</v>
      </c>
      <c r="Q389" s="1">
        <v>2400</v>
      </c>
      <c r="R389" s="1">
        <f t="shared" si="120"/>
        <v>2400</v>
      </c>
      <c r="S389" s="1">
        <v>2.5</v>
      </c>
      <c r="U389" s="1">
        <f t="shared" si="121"/>
        <v>955</v>
      </c>
      <c r="V389" s="7">
        <f t="shared" si="122"/>
        <v>2.5130890052356021</v>
      </c>
      <c r="W389" s="7">
        <f t="shared" si="123"/>
        <v>917.27748691099475</v>
      </c>
      <c r="X389" s="7">
        <f t="shared" si="124"/>
        <v>1.1465968586387434</v>
      </c>
      <c r="AA389" s="8">
        <f t="shared" si="125"/>
        <v>44927</v>
      </c>
      <c r="AB389" s="8">
        <f t="shared" si="126"/>
        <v>45291</v>
      </c>
      <c r="AC389" s="1">
        <v>0</v>
      </c>
      <c r="AD389" s="1">
        <f t="shared" si="127"/>
        <v>0</v>
      </c>
      <c r="AE389" s="1">
        <f t="shared" si="128"/>
        <v>0</v>
      </c>
      <c r="AF389" s="1">
        <f t="shared" si="129"/>
        <v>0</v>
      </c>
      <c r="AG389" s="1">
        <f t="shared" si="130"/>
        <v>0</v>
      </c>
      <c r="AH389" s="1">
        <f t="shared" si="131"/>
        <v>182.5</v>
      </c>
      <c r="AI389" s="5">
        <f t="shared" si="132"/>
        <v>0.5</v>
      </c>
      <c r="AJ389" s="5">
        <f t="shared" si="133"/>
        <v>0.57329842931937169</v>
      </c>
      <c r="AK389" s="5">
        <f t="shared" si="134"/>
        <v>0</v>
      </c>
      <c r="AL389" s="5">
        <f t="shared" si="135"/>
        <v>0</v>
      </c>
      <c r="AM389" s="5">
        <f t="shared" si="136"/>
        <v>0</v>
      </c>
      <c r="AN389" s="5">
        <f t="shared" si="137"/>
        <v>0</v>
      </c>
      <c r="AO389" s="1" t="s">
        <v>102</v>
      </c>
    </row>
    <row r="390" spans="1:41" x14ac:dyDescent="0.25">
      <c r="A390" s="1" t="s">
        <v>19</v>
      </c>
      <c r="B390" s="1" t="s">
        <v>37</v>
      </c>
      <c r="C390" s="1" t="s">
        <v>21</v>
      </c>
      <c r="D390" s="1" t="s">
        <v>38</v>
      </c>
      <c r="E390" s="1" t="s">
        <v>96</v>
      </c>
      <c r="F390" s="1" t="s">
        <v>103</v>
      </c>
      <c r="G390" s="1" t="s">
        <v>127</v>
      </c>
      <c r="H390" s="1" t="s">
        <v>555</v>
      </c>
      <c r="I390" s="1" t="s">
        <v>331</v>
      </c>
      <c r="J390" s="1" t="s">
        <v>101</v>
      </c>
      <c r="L390" s="1">
        <v>2021428</v>
      </c>
      <c r="M390" s="1" t="s">
        <v>586</v>
      </c>
      <c r="N390" s="8">
        <f t="shared" si="119"/>
        <v>42502</v>
      </c>
      <c r="O390" s="8">
        <f>DATE(2019,7,19)</f>
        <v>43665</v>
      </c>
      <c r="P390" s="1">
        <v>2509</v>
      </c>
      <c r="Q390" s="1">
        <v>2400</v>
      </c>
      <c r="R390" s="1">
        <f t="shared" si="120"/>
        <v>2400</v>
      </c>
      <c r="S390" s="1">
        <v>2.5</v>
      </c>
      <c r="U390" s="1">
        <f t="shared" si="121"/>
        <v>1164</v>
      </c>
      <c r="V390" s="7">
        <f t="shared" si="122"/>
        <v>2.0618556701030926</v>
      </c>
      <c r="W390" s="7">
        <f t="shared" si="123"/>
        <v>752.57731958762884</v>
      </c>
      <c r="X390" s="7">
        <f t="shared" si="124"/>
        <v>0.94072164948453607</v>
      </c>
      <c r="AA390" s="8">
        <f t="shared" si="125"/>
        <v>44927</v>
      </c>
      <c r="AB390" s="8">
        <f t="shared" si="126"/>
        <v>45291</v>
      </c>
      <c r="AC390" s="1">
        <v>0</v>
      </c>
      <c r="AD390" s="1">
        <f t="shared" si="127"/>
        <v>0</v>
      </c>
      <c r="AE390" s="1">
        <f t="shared" si="128"/>
        <v>0</v>
      </c>
      <c r="AF390" s="1">
        <f t="shared" si="129"/>
        <v>0</v>
      </c>
      <c r="AG390" s="1">
        <f t="shared" si="130"/>
        <v>0</v>
      </c>
      <c r="AH390" s="1">
        <f t="shared" si="131"/>
        <v>182.5</v>
      </c>
      <c r="AI390" s="5">
        <f t="shared" si="132"/>
        <v>0.5</v>
      </c>
      <c r="AJ390" s="5">
        <f t="shared" si="133"/>
        <v>0.47036082474226804</v>
      </c>
      <c r="AK390" s="5">
        <f t="shared" si="134"/>
        <v>0</v>
      </c>
      <c r="AL390" s="5">
        <f t="shared" si="135"/>
        <v>0</v>
      </c>
      <c r="AM390" s="5">
        <f t="shared" si="136"/>
        <v>0</v>
      </c>
      <c r="AN390" s="5">
        <f t="shared" si="137"/>
        <v>0</v>
      </c>
      <c r="AO390" s="1" t="s">
        <v>102</v>
      </c>
    </row>
    <row r="391" spans="1:41" x14ac:dyDescent="0.25">
      <c r="A391" s="1" t="s">
        <v>19</v>
      </c>
      <c r="B391" s="1" t="s">
        <v>37</v>
      </c>
      <c r="C391" s="1" t="s">
        <v>21</v>
      </c>
      <c r="D391" s="1" t="s">
        <v>38</v>
      </c>
      <c r="E391" s="1" t="s">
        <v>96</v>
      </c>
      <c r="F391" s="1" t="s">
        <v>103</v>
      </c>
      <c r="G391" s="1" t="s">
        <v>127</v>
      </c>
      <c r="H391" s="1" t="s">
        <v>562</v>
      </c>
      <c r="I391" s="1" t="s">
        <v>331</v>
      </c>
      <c r="J391" s="1" t="s">
        <v>101</v>
      </c>
      <c r="L391" s="1">
        <v>2021429</v>
      </c>
      <c r="M391" s="1" t="s">
        <v>587</v>
      </c>
      <c r="N391" s="8">
        <f t="shared" si="119"/>
        <v>42502</v>
      </c>
      <c r="O391" s="8">
        <f>DATE(2018,12,22)</f>
        <v>43456</v>
      </c>
      <c r="P391" s="1">
        <v>2032</v>
      </c>
      <c r="Q391" s="1">
        <v>2400</v>
      </c>
      <c r="R391" s="1">
        <f t="shared" si="120"/>
        <v>2400</v>
      </c>
      <c r="S391" s="1">
        <v>2.5</v>
      </c>
      <c r="U391" s="1">
        <f t="shared" si="121"/>
        <v>955</v>
      </c>
      <c r="V391" s="7">
        <f t="shared" si="122"/>
        <v>2.1277486910994763</v>
      </c>
      <c r="W391" s="7">
        <f t="shared" si="123"/>
        <v>776.62827225130889</v>
      </c>
      <c r="X391" s="7">
        <f t="shared" si="124"/>
        <v>0.9707853403141361</v>
      </c>
      <c r="AA391" s="8">
        <f t="shared" si="125"/>
        <v>44927</v>
      </c>
      <c r="AB391" s="8">
        <f t="shared" si="126"/>
        <v>45291</v>
      </c>
      <c r="AC391" s="1">
        <v>0</v>
      </c>
      <c r="AD391" s="1">
        <f t="shared" si="127"/>
        <v>0</v>
      </c>
      <c r="AE391" s="1">
        <f t="shared" si="128"/>
        <v>0</v>
      </c>
      <c r="AF391" s="1">
        <f t="shared" si="129"/>
        <v>0</v>
      </c>
      <c r="AG391" s="1">
        <f t="shared" si="130"/>
        <v>0</v>
      </c>
      <c r="AH391" s="1">
        <f t="shared" si="131"/>
        <v>182.5</v>
      </c>
      <c r="AI391" s="5">
        <f t="shared" si="132"/>
        <v>0.5</v>
      </c>
      <c r="AJ391" s="5">
        <f t="shared" si="133"/>
        <v>0.48539267015706805</v>
      </c>
      <c r="AK391" s="5">
        <f t="shared" si="134"/>
        <v>0</v>
      </c>
      <c r="AL391" s="5">
        <f t="shared" si="135"/>
        <v>0</v>
      </c>
      <c r="AM391" s="5">
        <f t="shared" si="136"/>
        <v>0</v>
      </c>
      <c r="AN391" s="5">
        <f t="shared" si="137"/>
        <v>0</v>
      </c>
      <c r="AO391" s="1" t="s">
        <v>102</v>
      </c>
    </row>
    <row r="392" spans="1:41" x14ac:dyDescent="0.25">
      <c r="A392" s="1" t="s">
        <v>19</v>
      </c>
      <c r="B392" s="1" t="s">
        <v>37</v>
      </c>
      <c r="C392" s="1" t="s">
        <v>21</v>
      </c>
      <c r="D392" s="1" t="s">
        <v>38</v>
      </c>
      <c r="E392" s="1" t="s">
        <v>96</v>
      </c>
      <c r="F392" s="1" t="s">
        <v>103</v>
      </c>
      <c r="G392" s="1" t="s">
        <v>127</v>
      </c>
      <c r="H392" s="1" t="s">
        <v>518</v>
      </c>
      <c r="I392" s="1" t="s">
        <v>162</v>
      </c>
      <c r="J392" s="1" t="s">
        <v>101</v>
      </c>
      <c r="L392" s="1">
        <v>2021432</v>
      </c>
      <c r="M392" s="1" t="s">
        <v>588</v>
      </c>
      <c r="N392" s="8">
        <f t="shared" si="119"/>
        <v>42502</v>
      </c>
      <c r="O392" s="8">
        <f>DATE(2018,12,22)</f>
        <v>43456</v>
      </c>
      <c r="P392" s="1">
        <v>2246</v>
      </c>
      <c r="Q392" s="1">
        <v>2000</v>
      </c>
      <c r="R392" s="1">
        <f t="shared" si="120"/>
        <v>2000</v>
      </c>
      <c r="S392" s="1">
        <v>1.5</v>
      </c>
      <c r="U392" s="1">
        <f t="shared" si="121"/>
        <v>955</v>
      </c>
      <c r="V392" s="7">
        <f t="shared" si="122"/>
        <v>2.0942408376963351</v>
      </c>
      <c r="W392" s="7">
        <f t="shared" si="123"/>
        <v>764.39790575916231</v>
      </c>
      <c r="X392" s="7">
        <f t="shared" si="124"/>
        <v>0.95549738219895286</v>
      </c>
      <c r="AA392" s="8">
        <f t="shared" si="125"/>
        <v>44927</v>
      </c>
      <c r="AB392" s="8">
        <f t="shared" si="126"/>
        <v>45291</v>
      </c>
      <c r="AC392" s="1">
        <v>6</v>
      </c>
      <c r="AD392" s="1">
        <f t="shared" si="127"/>
        <v>0</v>
      </c>
      <c r="AE392" s="1">
        <f t="shared" si="128"/>
        <v>0</v>
      </c>
      <c r="AF392" s="1">
        <f t="shared" si="129"/>
        <v>0</v>
      </c>
      <c r="AG392" s="1">
        <f t="shared" si="130"/>
        <v>0</v>
      </c>
      <c r="AH392" s="1">
        <f t="shared" si="131"/>
        <v>182.5</v>
      </c>
      <c r="AI392" s="5">
        <f t="shared" si="132"/>
        <v>0.5</v>
      </c>
      <c r="AJ392" s="5">
        <f t="shared" si="133"/>
        <v>0.47774869109947643</v>
      </c>
      <c r="AK392" s="5">
        <f t="shared" si="134"/>
        <v>0</v>
      </c>
      <c r="AL392" s="5">
        <f t="shared" si="135"/>
        <v>0</v>
      </c>
      <c r="AM392" s="5">
        <f t="shared" si="136"/>
        <v>0</v>
      </c>
      <c r="AN392" s="5">
        <f t="shared" si="137"/>
        <v>0</v>
      </c>
      <c r="AO392" s="1" t="s">
        <v>102</v>
      </c>
    </row>
    <row r="393" spans="1:41" x14ac:dyDescent="0.25">
      <c r="A393" s="1" t="s">
        <v>19</v>
      </c>
      <c r="B393" s="1" t="s">
        <v>37</v>
      </c>
      <c r="C393" s="1" t="s">
        <v>21</v>
      </c>
      <c r="D393" s="1" t="s">
        <v>38</v>
      </c>
      <c r="E393" s="1" t="s">
        <v>96</v>
      </c>
      <c r="F393" s="1" t="s">
        <v>103</v>
      </c>
      <c r="G393" s="1" t="s">
        <v>127</v>
      </c>
      <c r="H393" s="1" t="s">
        <v>528</v>
      </c>
      <c r="I393" s="1" t="s">
        <v>162</v>
      </c>
      <c r="J393" s="1" t="s">
        <v>101</v>
      </c>
      <c r="L393" s="1">
        <v>2021433</v>
      </c>
      <c r="M393" s="1" t="s">
        <v>589</v>
      </c>
      <c r="N393" s="8">
        <f t="shared" si="119"/>
        <v>42502</v>
      </c>
      <c r="O393" s="8">
        <f>DATE(2018,12,22)</f>
        <v>43456</v>
      </c>
      <c r="P393" s="1">
        <v>2358</v>
      </c>
      <c r="Q393" s="1">
        <v>2000</v>
      </c>
      <c r="R393" s="1">
        <f t="shared" si="120"/>
        <v>2000</v>
      </c>
      <c r="S393" s="1">
        <v>1</v>
      </c>
      <c r="U393" s="1">
        <f t="shared" si="121"/>
        <v>955</v>
      </c>
      <c r="V393" s="7">
        <f t="shared" si="122"/>
        <v>2.0942408376963351</v>
      </c>
      <c r="W393" s="7">
        <f t="shared" si="123"/>
        <v>764.39790575916231</v>
      </c>
      <c r="X393" s="7">
        <f t="shared" si="124"/>
        <v>0.95549738219895286</v>
      </c>
      <c r="AA393" s="8">
        <f t="shared" si="125"/>
        <v>44927</v>
      </c>
      <c r="AB393" s="8">
        <f t="shared" si="126"/>
        <v>45291</v>
      </c>
      <c r="AC393" s="1">
        <v>2</v>
      </c>
      <c r="AD393" s="1">
        <f t="shared" si="127"/>
        <v>0</v>
      </c>
      <c r="AE393" s="1">
        <f t="shared" si="128"/>
        <v>0</v>
      </c>
      <c r="AF393" s="1">
        <f t="shared" si="129"/>
        <v>0</v>
      </c>
      <c r="AG393" s="1">
        <f t="shared" si="130"/>
        <v>0</v>
      </c>
      <c r="AH393" s="1">
        <f t="shared" si="131"/>
        <v>182.5</v>
      </c>
      <c r="AI393" s="5">
        <f t="shared" si="132"/>
        <v>0.5</v>
      </c>
      <c r="AJ393" s="5">
        <f t="shared" si="133"/>
        <v>0.47774869109947643</v>
      </c>
      <c r="AK393" s="5">
        <f t="shared" si="134"/>
        <v>0</v>
      </c>
      <c r="AL393" s="5">
        <f t="shared" si="135"/>
        <v>0</v>
      </c>
      <c r="AM393" s="5">
        <f t="shared" si="136"/>
        <v>0</v>
      </c>
      <c r="AN393" s="5">
        <f t="shared" si="137"/>
        <v>0</v>
      </c>
      <c r="AO393" s="1" t="s">
        <v>102</v>
      </c>
    </row>
    <row r="394" spans="1:41" x14ac:dyDescent="0.25">
      <c r="A394" s="1" t="s">
        <v>19</v>
      </c>
      <c r="B394" s="1" t="s">
        <v>37</v>
      </c>
      <c r="C394" s="1" t="s">
        <v>21</v>
      </c>
      <c r="D394" s="1" t="s">
        <v>38</v>
      </c>
      <c r="E394" s="1" t="s">
        <v>96</v>
      </c>
      <c r="F394" s="1" t="s">
        <v>103</v>
      </c>
      <c r="G394" s="1" t="s">
        <v>114</v>
      </c>
      <c r="H394" s="1" t="s">
        <v>590</v>
      </c>
      <c r="I394" s="1" t="s">
        <v>210</v>
      </c>
      <c r="J394" s="1" t="s">
        <v>101</v>
      </c>
      <c r="K394" s="1" t="s">
        <v>175</v>
      </c>
      <c r="L394" s="1">
        <v>2021799</v>
      </c>
      <c r="M394" s="1" t="s">
        <v>591</v>
      </c>
      <c r="N394" s="8">
        <f t="shared" si="119"/>
        <v>42502</v>
      </c>
      <c r="O394" s="8">
        <f>DATE(2017,12,23)</f>
        <v>43092</v>
      </c>
      <c r="P394" s="1">
        <v>1703</v>
      </c>
      <c r="Q394" s="1">
        <v>1200</v>
      </c>
      <c r="R394" s="1">
        <f t="shared" si="120"/>
        <v>1200</v>
      </c>
      <c r="S394" s="1">
        <v>2.5</v>
      </c>
      <c r="U394" s="1">
        <f t="shared" si="121"/>
        <v>591</v>
      </c>
      <c r="V394" s="7">
        <f t="shared" si="122"/>
        <v>2.030456852791878</v>
      </c>
      <c r="W394" s="7">
        <f t="shared" si="123"/>
        <v>741.11675126903549</v>
      </c>
      <c r="X394" s="7">
        <f t="shared" si="124"/>
        <v>0.92639593908629436</v>
      </c>
      <c r="AA394" s="8">
        <f t="shared" si="125"/>
        <v>44927</v>
      </c>
      <c r="AB394" s="8">
        <f t="shared" si="126"/>
        <v>45291</v>
      </c>
      <c r="AC394" s="1">
        <v>2</v>
      </c>
      <c r="AD394" s="1">
        <f t="shared" si="127"/>
        <v>0</v>
      </c>
      <c r="AE394" s="1">
        <f t="shared" si="128"/>
        <v>0</v>
      </c>
      <c r="AF394" s="1">
        <f t="shared" si="129"/>
        <v>0</v>
      </c>
      <c r="AG394" s="1">
        <f t="shared" si="130"/>
        <v>0</v>
      </c>
      <c r="AH394" s="1">
        <f t="shared" si="131"/>
        <v>182.5</v>
      </c>
      <c r="AI394" s="5">
        <f t="shared" si="132"/>
        <v>0.5</v>
      </c>
      <c r="AJ394" s="5">
        <f t="shared" si="133"/>
        <v>0.46319796954314718</v>
      </c>
      <c r="AK394" s="5">
        <f t="shared" si="134"/>
        <v>0</v>
      </c>
      <c r="AL394" s="5">
        <f t="shared" si="135"/>
        <v>0</v>
      </c>
      <c r="AM394" s="5">
        <f t="shared" si="136"/>
        <v>0</v>
      </c>
      <c r="AN394" s="5">
        <f t="shared" si="137"/>
        <v>0</v>
      </c>
      <c r="AO394" s="1" t="s">
        <v>102</v>
      </c>
    </row>
    <row r="395" spans="1:41" x14ac:dyDescent="0.25">
      <c r="A395" s="1" t="s">
        <v>19</v>
      </c>
      <c r="B395" s="1" t="s">
        <v>37</v>
      </c>
      <c r="C395" s="1" t="s">
        <v>21</v>
      </c>
      <c r="D395" s="1" t="s">
        <v>38</v>
      </c>
      <c r="E395" s="1" t="s">
        <v>96</v>
      </c>
      <c r="F395" s="1" t="s">
        <v>103</v>
      </c>
      <c r="G395" s="1" t="s">
        <v>114</v>
      </c>
      <c r="H395" s="1" t="s">
        <v>592</v>
      </c>
      <c r="I395" s="1" t="s">
        <v>210</v>
      </c>
      <c r="J395" s="1" t="s">
        <v>101</v>
      </c>
      <c r="K395" s="1" t="s">
        <v>175</v>
      </c>
      <c r="L395" s="1">
        <v>2021804</v>
      </c>
      <c r="M395" s="1" t="s">
        <v>593</v>
      </c>
      <c r="N395" s="8">
        <f t="shared" si="119"/>
        <v>42502</v>
      </c>
      <c r="O395" s="8">
        <f>DATE(2017,12,23)</f>
        <v>43092</v>
      </c>
      <c r="P395" s="1">
        <v>1707</v>
      </c>
      <c r="Q395" s="1">
        <v>1200</v>
      </c>
      <c r="R395" s="1">
        <f t="shared" si="120"/>
        <v>1200</v>
      </c>
      <c r="S395" s="1">
        <v>2.5</v>
      </c>
      <c r="U395" s="1">
        <f t="shared" si="121"/>
        <v>591</v>
      </c>
      <c r="V395" s="7">
        <f t="shared" si="122"/>
        <v>2.030456852791878</v>
      </c>
      <c r="W395" s="7">
        <f t="shared" si="123"/>
        <v>741.11675126903549</v>
      </c>
      <c r="X395" s="7">
        <f t="shared" si="124"/>
        <v>0.92639593908629436</v>
      </c>
      <c r="AA395" s="8">
        <f t="shared" si="125"/>
        <v>44927</v>
      </c>
      <c r="AB395" s="8">
        <f t="shared" si="126"/>
        <v>45291</v>
      </c>
      <c r="AC395" s="1">
        <v>2</v>
      </c>
      <c r="AD395" s="1">
        <f t="shared" si="127"/>
        <v>0</v>
      </c>
      <c r="AE395" s="1">
        <f t="shared" si="128"/>
        <v>0</v>
      </c>
      <c r="AF395" s="1">
        <f t="shared" si="129"/>
        <v>0</v>
      </c>
      <c r="AG395" s="1">
        <f t="shared" si="130"/>
        <v>0</v>
      </c>
      <c r="AH395" s="1">
        <f t="shared" si="131"/>
        <v>182.5</v>
      </c>
      <c r="AI395" s="5">
        <f t="shared" si="132"/>
        <v>0.5</v>
      </c>
      <c r="AJ395" s="5">
        <f t="shared" si="133"/>
        <v>0.46319796954314718</v>
      </c>
      <c r="AK395" s="5">
        <f t="shared" si="134"/>
        <v>0</v>
      </c>
      <c r="AL395" s="5">
        <f t="shared" si="135"/>
        <v>0</v>
      </c>
      <c r="AM395" s="5">
        <f t="shared" si="136"/>
        <v>0</v>
      </c>
      <c r="AN395" s="5">
        <f t="shared" si="137"/>
        <v>0</v>
      </c>
      <c r="AO395" s="1" t="s">
        <v>102</v>
      </c>
    </row>
    <row r="396" spans="1:41" x14ac:dyDescent="0.25">
      <c r="A396" s="1" t="s">
        <v>19</v>
      </c>
      <c r="B396" s="1" t="s">
        <v>37</v>
      </c>
      <c r="C396" s="1" t="s">
        <v>21</v>
      </c>
      <c r="D396" s="1" t="s">
        <v>38</v>
      </c>
      <c r="E396" s="1" t="s">
        <v>96</v>
      </c>
      <c r="F396" s="1" t="s">
        <v>103</v>
      </c>
      <c r="G396" s="1" t="s">
        <v>98</v>
      </c>
      <c r="H396" s="1" t="s">
        <v>542</v>
      </c>
      <c r="I396" s="1" t="s">
        <v>210</v>
      </c>
      <c r="J396" s="1" t="s">
        <v>101</v>
      </c>
      <c r="L396" s="1">
        <v>2087676</v>
      </c>
      <c r="M396" s="1" t="s">
        <v>594</v>
      </c>
      <c r="N396" s="8">
        <f t="shared" ref="N396:N403" si="138">DATE(2016,10,3)</f>
        <v>42646</v>
      </c>
      <c r="O396" s="8">
        <f>DATE(2021,8,13)</f>
        <v>44421</v>
      </c>
      <c r="P396" s="1">
        <v>4610</v>
      </c>
      <c r="Q396" s="1">
        <v>3600</v>
      </c>
      <c r="R396" s="1">
        <f t="shared" si="120"/>
        <v>3600</v>
      </c>
      <c r="S396" s="1">
        <v>2.5</v>
      </c>
      <c r="U396" s="1">
        <f t="shared" si="121"/>
        <v>1776</v>
      </c>
      <c r="V396" s="7">
        <f t="shared" si="122"/>
        <v>2.0270270270270272</v>
      </c>
      <c r="W396" s="7">
        <f t="shared" si="123"/>
        <v>739.8648648648649</v>
      </c>
      <c r="X396" s="7">
        <f t="shared" si="124"/>
        <v>0.92483108108108114</v>
      </c>
      <c r="AA396" s="8">
        <f t="shared" si="125"/>
        <v>44927</v>
      </c>
      <c r="AB396" s="8">
        <f t="shared" si="126"/>
        <v>45291</v>
      </c>
      <c r="AC396" s="1">
        <v>7</v>
      </c>
      <c r="AD396" s="1">
        <f t="shared" si="127"/>
        <v>0</v>
      </c>
      <c r="AE396" s="1">
        <f t="shared" si="128"/>
        <v>0</v>
      </c>
      <c r="AF396" s="1">
        <f t="shared" si="129"/>
        <v>0</v>
      </c>
      <c r="AG396" s="1">
        <f t="shared" si="130"/>
        <v>0</v>
      </c>
      <c r="AH396" s="1">
        <f t="shared" si="131"/>
        <v>182.5</v>
      </c>
      <c r="AI396" s="5">
        <f t="shared" si="132"/>
        <v>0.5</v>
      </c>
      <c r="AJ396" s="5">
        <f t="shared" si="133"/>
        <v>0.46241554054054057</v>
      </c>
      <c r="AK396" s="5">
        <f t="shared" si="134"/>
        <v>1.6184543918918921</v>
      </c>
      <c r="AL396" s="5">
        <f t="shared" si="135"/>
        <v>4.0461359797297298</v>
      </c>
      <c r="AM396" s="5">
        <f t="shared" si="136"/>
        <v>0</v>
      </c>
      <c r="AN396" s="5">
        <f t="shared" si="137"/>
        <v>4.0461359797297298</v>
      </c>
      <c r="AO396" s="1" t="s">
        <v>102</v>
      </c>
    </row>
    <row r="397" spans="1:41" x14ac:dyDescent="0.25">
      <c r="A397" s="1" t="s">
        <v>19</v>
      </c>
      <c r="B397" s="1" t="s">
        <v>37</v>
      </c>
      <c r="C397" s="1" t="s">
        <v>21</v>
      </c>
      <c r="D397" s="1" t="s">
        <v>38</v>
      </c>
      <c r="E397" s="1" t="s">
        <v>96</v>
      </c>
      <c r="F397" s="1" t="s">
        <v>103</v>
      </c>
      <c r="G397" s="1" t="s">
        <v>98</v>
      </c>
      <c r="H397" s="1" t="s">
        <v>523</v>
      </c>
      <c r="I397" s="1" t="s">
        <v>100</v>
      </c>
      <c r="J397" s="1" t="s">
        <v>101</v>
      </c>
      <c r="L397" s="1">
        <v>2087678</v>
      </c>
      <c r="M397" s="1" t="s">
        <v>595</v>
      </c>
      <c r="N397" s="8">
        <f t="shared" si="138"/>
        <v>42646</v>
      </c>
      <c r="O397" s="8">
        <f>DATE(2019,8,16)</f>
        <v>43693</v>
      </c>
      <c r="P397" s="1">
        <v>2587</v>
      </c>
      <c r="Q397" s="1">
        <v>2400</v>
      </c>
      <c r="R397" s="1">
        <f t="shared" si="120"/>
        <v>2400</v>
      </c>
      <c r="S397" s="1">
        <v>1</v>
      </c>
      <c r="U397" s="1">
        <f t="shared" si="121"/>
        <v>1048</v>
      </c>
      <c r="V397" s="7">
        <f t="shared" si="122"/>
        <v>2.2900763358778624</v>
      </c>
      <c r="W397" s="7">
        <f t="shared" si="123"/>
        <v>835.87786259541974</v>
      </c>
      <c r="X397" s="7">
        <f t="shared" si="124"/>
        <v>1.0448473282442747</v>
      </c>
      <c r="AA397" s="8">
        <f t="shared" si="125"/>
        <v>44927</v>
      </c>
      <c r="AB397" s="8">
        <f t="shared" si="126"/>
        <v>45291</v>
      </c>
      <c r="AC397" s="1">
        <v>1</v>
      </c>
      <c r="AD397" s="1">
        <f t="shared" si="127"/>
        <v>0</v>
      </c>
      <c r="AE397" s="1">
        <f t="shared" si="128"/>
        <v>0</v>
      </c>
      <c r="AF397" s="1">
        <f t="shared" si="129"/>
        <v>0</v>
      </c>
      <c r="AG397" s="1">
        <f t="shared" si="130"/>
        <v>0</v>
      </c>
      <c r="AH397" s="1">
        <f t="shared" si="131"/>
        <v>182.5</v>
      </c>
      <c r="AI397" s="5">
        <f t="shared" si="132"/>
        <v>0.5</v>
      </c>
      <c r="AJ397" s="5">
        <f t="shared" si="133"/>
        <v>0.52242366412213737</v>
      </c>
      <c r="AK397" s="5">
        <f t="shared" si="134"/>
        <v>0</v>
      </c>
      <c r="AL397" s="5">
        <f t="shared" si="135"/>
        <v>0</v>
      </c>
      <c r="AM397" s="5">
        <f t="shared" si="136"/>
        <v>0</v>
      </c>
      <c r="AN397" s="5">
        <f t="shared" si="137"/>
        <v>0</v>
      </c>
      <c r="AO397" s="1" t="s">
        <v>102</v>
      </c>
    </row>
    <row r="398" spans="1:41" x14ac:dyDescent="0.25">
      <c r="A398" s="1" t="s">
        <v>19</v>
      </c>
      <c r="B398" s="1" t="s">
        <v>37</v>
      </c>
      <c r="C398" s="1" t="s">
        <v>21</v>
      </c>
      <c r="D398" s="1" t="s">
        <v>38</v>
      </c>
      <c r="E398" s="1" t="s">
        <v>96</v>
      </c>
      <c r="F398" s="1" t="s">
        <v>103</v>
      </c>
      <c r="G398" s="1" t="s">
        <v>98</v>
      </c>
      <c r="H398" s="1" t="s">
        <v>566</v>
      </c>
      <c r="I398" s="1" t="s">
        <v>336</v>
      </c>
      <c r="J398" s="1" t="s">
        <v>101</v>
      </c>
      <c r="L398" s="1">
        <v>2087683</v>
      </c>
      <c r="M398" s="1" t="s">
        <v>596</v>
      </c>
      <c r="N398" s="8">
        <f t="shared" si="138"/>
        <v>42646</v>
      </c>
      <c r="O398" s="8">
        <f>DATE(2019,8,16)</f>
        <v>43693</v>
      </c>
      <c r="P398" s="1">
        <v>2668</v>
      </c>
      <c r="Q398" s="1">
        <v>2400</v>
      </c>
      <c r="R398" s="1">
        <f t="shared" si="120"/>
        <v>2400</v>
      </c>
      <c r="S398" s="1">
        <v>1</v>
      </c>
      <c r="U398" s="1">
        <f t="shared" si="121"/>
        <v>1048</v>
      </c>
      <c r="V398" s="7">
        <f t="shared" si="122"/>
        <v>2.2900763358778624</v>
      </c>
      <c r="W398" s="7">
        <f t="shared" si="123"/>
        <v>835.87786259541974</v>
      </c>
      <c r="X398" s="7">
        <f t="shared" si="124"/>
        <v>1.0448473282442747</v>
      </c>
      <c r="AA398" s="8">
        <f t="shared" si="125"/>
        <v>44927</v>
      </c>
      <c r="AB398" s="8">
        <f t="shared" si="126"/>
        <v>45291</v>
      </c>
      <c r="AC398" s="1">
        <v>2</v>
      </c>
      <c r="AD398" s="1">
        <f t="shared" si="127"/>
        <v>0</v>
      </c>
      <c r="AE398" s="1">
        <f t="shared" si="128"/>
        <v>0</v>
      </c>
      <c r="AF398" s="1">
        <f t="shared" si="129"/>
        <v>0</v>
      </c>
      <c r="AG398" s="1">
        <f t="shared" si="130"/>
        <v>0</v>
      </c>
      <c r="AH398" s="1">
        <f t="shared" si="131"/>
        <v>182.5</v>
      </c>
      <c r="AI398" s="5">
        <f t="shared" si="132"/>
        <v>0.5</v>
      </c>
      <c r="AJ398" s="5">
        <f t="shared" si="133"/>
        <v>0.52242366412213737</v>
      </c>
      <c r="AK398" s="5">
        <f t="shared" si="134"/>
        <v>0</v>
      </c>
      <c r="AL398" s="5">
        <f t="shared" si="135"/>
        <v>0</v>
      </c>
      <c r="AM398" s="5">
        <f t="shared" si="136"/>
        <v>0</v>
      </c>
      <c r="AN398" s="5">
        <f t="shared" si="137"/>
        <v>0</v>
      </c>
      <c r="AO398" s="1" t="s">
        <v>102</v>
      </c>
    </row>
    <row r="399" spans="1:41" x14ac:dyDescent="0.25">
      <c r="A399" s="1" t="s">
        <v>19</v>
      </c>
      <c r="B399" s="1" t="s">
        <v>37</v>
      </c>
      <c r="C399" s="1" t="s">
        <v>21</v>
      </c>
      <c r="D399" s="1" t="s">
        <v>38</v>
      </c>
      <c r="E399" s="1" t="s">
        <v>96</v>
      </c>
      <c r="F399" s="1" t="s">
        <v>103</v>
      </c>
      <c r="G399" s="1" t="s">
        <v>127</v>
      </c>
      <c r="H399" s="1" t="s">
        <v>520</v>
      </c>
      <c r="I399" s="1" t="s">
        <v>210</v>
      </c>
      <c r="J399" s="1" t="s">
        <v>101</v>
      </c>
      <c r="L399" s="1">
        <v>2087687</v>
      </c>
      <c r="M399" s="1" t="s">
        <v>597</v>
      </c>
      <c r="N399" s="8">
        <f t="shared" si="138"/>
        <v>42646</v>
      </c>
      <c r="O399" s="8">
        <f>DATE(2019,12,23)</f>
        <v>43822</v>
      </c>
      <c r="P399" s="1">
        <v>2406</v>
      </c>
      <c r="Q399" s="1">
        <v>2400</v>
      </c>
      <c r="R399" s="1">
        <f t="shared" si="120"/>
        <v>2400</v>
      </c>
      <c r="S399" s="1">
        <v>2.5</v>
      </c>
      <c r="U399" s="1">
        <f t="shared" si="121"/>
        <v>1177</v>
      </c>
      <c r="V399" s="7">
        <f t="shared" si="122"/>
        <v>2.0390824129141887</v>
      </c>
      <c r="W399" s="7">
        <f t="shared" si="123"/>
        <v>744.26508071367891</v>
      </c>
      <c r="X399" s="7">
        <f t="shared" si="124"/>
        <v>0.93033135089209862</v>
      </c>
      <c r="AA399" s="8">
        <f t="shared" si="125"/>
        <v>44927</v>
      </c>
      <c r="AB399" s="8">
        <f t="shared" si="126"/>
        <v>45291</v>
      </c>
      <c r="AC399" s="1">
        <v>4</v>
      </c>
      <c r="AD399" s="1">
        <f t="shared" si="127"/>
        <v>0</v>
      </c>
      <c r="AE399" s="1">
        <f t="shared" si="128"/>
        <v>0</v>
      </c>
      <c r="AF399" s="1">
        <f t="shared" si="129"/>
        <v>0</v>
      </c>
      <c r="AG399" s="1">
        <f t="shared" si="130"/>
        <v>0</v>
      </c>
      <c r="AH399" s="1">
        <f t="shared" si="131"/>
        <v>182.5</v>
      </c>
      <c r="AI399" s="5">
        <f t="shared" si="132"/>
        <v>0.5</v>
      </c>
      <c r="AJ399" s="5">
        <f t="shared" si="133"/>
        <v>0.46516567544604931</v>
      </c>
      <c r="AK399" s="5">
        <f t="shared" si="134"/>
        <v>0</v>
      </c>
      <c r="AL399" s="5">
        <f t="shared" si="135"/>
        <v>0</v>
      </c>
      <c r="AM399" s="5">
        <f t="shared" si="136"/>
        <v>0</v>
      </c>
      <c r="AN399" s="5">
        <f t="shared" si="137"/>
        <v>0</v>
      </c>
      <c r="AO399" s="1" t="s">
        <v>102</v>
      </c>
    </row>
    <row r="400" spans="1:41" x14ac:dyDescent="0.25">
      <c r="A400" s="1" t="s">
        <v>19</v>
      </c>
      <c r="B400" s="1" t="s">
        <v>37</v>
      </c>
      <c r="C400" s="1" t="s">
        <v>21</v>
      </c>
      <c r="D400" s="1" t="s">
        <v>38</v>
      </c>
      <c r="E400" s="1" t="s">
        <v>96</v>
      </c>
      <c r="F400" s="1" t="s">
        <v>103</v>
      </c>
      <c r="G400" s="1" t="s">
        <v>127</v>
      </c>
      <c r="H400" s="1" t="s">
        <v>525</v>
      </c>
      <c r="I400" s="1" t="s">
        <v>331</v>
      </c>
      <c r="J400" s="1" t="s">
        <v>101</v>
      </c>
      <c r="L400" s="1">
        <v>2087692</v>
      </c>
      <c r="M400" s="1" t="s">
        <v>598</v>
      </c>
      <c r="N400" s="8">
        <f t="shared" si="138"/>
        <v>42646</v>
      </c>
      <c r="O400" s="8">
        <f>DATE(2019,8,16)</f>
        <v>43693</v>
      </c>
      <c r="P400" s="1">
        <v>2416</v>
      </c>
      <c r="Q400" s="1">
        <v>2400</v>
      </c>
      <c r="R400" s="1">
        <f t="shared" si="120"/>
        <v>2400</v>
      </c>
      <c r="S400" s="1">
        <v>2.5</v>
      </c>
      <c r="U400" s="1">
        <f t="shared" si="121"/>
        <v>1048</v>
      </c>
      <c r="V400" s="7">
        <f t="shared" si="122"/>
        <v>2.2900763358778624</v>
      </c>
      <c r="W400" s="7">
        <f t="shared" si="123"/>
        <v>835.87786259541974</v>
      </c>
      <c r="X400" s="7">
        <f t="shared" si="124"/>
        <v>1.0448473282442747</v>
      </c>
      <c r="AA400" s="8">
        <f t="shared" si="125"/>
        <v>44927</v>
      </c>
      <c r="AB400" s="8">
        <f t="shared" si="126"/>
        <v>45291</v>
      </c>
      <c r="AC400" s="1">
        <v>0</v>
      </c>
      <c r="AD400" s="1">
        <f t="shared" si="127"/>
        <v>0</v>
      </c>
      <c r="AE400" s="1">
        <f t="shared" si="128"/>
        <v>0</v>
      </c>
      <c r="AF400" s="1">
        <f t="shared" si="129"/>
        <v>0</v>
      </c>
      <c r="AG400" s="1">
        <f t="shared" si="130"/>
        <v>0</v>
      </c>
      <c r="AH400" s="1">
        <f t="shared" si="131"/>
        <v>182.5</v>
      </c>
      <c r="AI400" s="5">
        <f t="shared" si="132"/>
        <v>0.5</v>
      </c>
      <c r="AJ400" s="5">
        <f t="shared" si="133"/>
        <v>0.52242366412213737</v>
      </c>
      <c r="AK400" s="5">
        <f t="shared" si="134"/>
        <v>0</v>
      </c>
      <c r="AL400" s="5">
        <f t="shared" si="135"/>
        <v>0</v>
      </c>
      <c r="AM400" s="5">
        <f t="shared" si="136"/>
        <v>0</v>
      </c>
      <c r="AN400" s="5">
        <f t="shared" si="137"/>
        <v>0</v>
      </c>
      <c r="AO400" s="1" t="s">
        <v>102</v>
      </c>
    </row>
    <row r="401" spans="1:41" x14ac:dyDescent="0.25">
      <c r="A401" s="1" t="s">
        <v>19</v>
      </c>
      <c r="B401" s="1" t="s">
        <v>37</v>
      </c>
      <c r="C401" s="1" t="s">
        <v>21</v>
      </c>
      <c r="D401" s="1" t="s">
        <v>38</v>
      </c>
      <c r="E401" s="1" t="s">
        <v>96</v>
      </c>
      <c r="F401" s="1" t="s">
        <v>103</v>
      </c>
      <c r="G401" s="1" t="s">
        <v>127</v>
      </c>
      <c r="H401" s="1" t="s">
        <v>555</v>
      </c>
      <c r="I401" s="1" t="s">
        <v>331</v>
      </c>
      <c r="J401" s="1" t="s">
        <v>101</v>
      </c>
      <c r="L401" s="1">
        <v>2087697</v>
      </c>
      <c r="M401" s="1" t="s">
        <v>599</v>
      </c>
      <c r="N401" s="8">
        <f t="shared" si="138"/>
        <v>42646</v>
      </c>
      <c r="O401" s="8">
        <f>DATE(2019,12,23)</f>
        <v>43822</v>
      </c>
      <c r="P401" s="1">
        <v>2509</v>
      </c>
      <c r="Q401" s="1">
        <v>2400</v>
      </c>
      <c r="R401" s="1">
        <f t="shared" si="120"/>
        <v>2400</v>
      </c>
      <c r="S401" s="1">
        <v>2.5</v>
      </c>
      <c r="U401" s="1">
        <f t="shared" si="121"/>
        <v>1177</v>
      </c>
      <c r="V401" s="7">
        <f t="shared" si="122"/>
        <v>2.0390824129141887</v>
      </c>
      <c r="W401" s="7">
        <f t="shared" si="123"/>
        <v>744.26508071367891</v>
      </c>
      <c r="X401" s="7">
        <f t="shared" si="124"/>
        <v>0.93033135089209862</v>
      </c>
      <c r="AA401" s="8">
        <f t="shared" si="125"/>
        <v>44927</v>
      </c>
      <c r="AB401" s="8">
        <f t="shared" si="126"/>
        <v>45291</v>
      </c>
      <c r="AC401" s="1">
        <v>4</v>
      </c>
      <c r="AD401" s="1">
        <f t="shared" si="127"/>
        <v>0</v>
      </c>
      <c r="AE401" s="1">
        <f t="shared" si="128"/>
        <v>0</v>
      </c>
      <c r="AF401" s="1">
        <f t="shared" si="129"/>
        <v>0</v>
      </c>
      <c r="AG401" s="1">
        <f t="shared" si="130"/>
        <v>0</v>
      </c>
      <c r="AH401" s="1">
        <f t="shared" si="131"/>
        <v>182.5</v>
      </c>
      <c r="AI401" s="5">
        <f t="shared" si="132"/>
        <v>0.5</v>
      </c>
      <c r="AJ401" s="5">
        <f t="shared" si="133"/>
        <v>0.46516567544604931</v>
      </c>
      <c r="AK401" s="5">
        <f t="shared" si="134"/>
        <v>0</v>
      </c>
      <c r="AL401" s="5">
        <f t="shared" si="135"/>
        <v>0</v>
      </c>
      <c r="AM401" s="5">
        <f t="shared" si="136"/>
        <v>0</v>
      </c>
      <c r="AN401" s="5">
        <f t="shared" si="137"/>
        <v>0</v>
      </c>
      <c r="AO401" s="1" t="s">
        <v>102</v>
      </c>
    </row>
    <row r="402" spans="1:41" x14ac:dyDescent="0.25">
      <c r="A402" s="1" t="s">
        <v>19</v>
      </c>
      <c r="B402" s="1" t="s">
        <v>37</v>
      </c>
      <c r="C402" s="1" t="s">
        <v>21</v>
      </c>
      <c r="D402" s="1" t="s">
        <v>38</v>
      </c>
      <c r="E402" s="1" t="s">
        <v>96</v>
      </c>
      <c r="F402" s="1" t="s">
        <v>103</v>
      </c>
      <c r="G402" s="1" t="s">
        <v>114</v>
      </c>
      <c r="H402" s="1" t="s">
        <v>590</v>
      </c>
      <c r="I402" s="1" t="s">
        <v>210</v>
      </c>
      <c r="J402" s="1" t="s">
        <v>101</v>
      </c>
      <c r="K402" s="1" t="s">
        <v>175</v>
      </c>
      <c r="L402" s="1">
        <v>2093260</v>
      </c>
      <c r="M402" s="1" t="s">
        <v>600</v>
      </c>
      <c r="N402" s="8">
        <f t="shared" si="138"/>
        <v>42646</v>
      </c>
      <c r="O402" s="8">
        <f>DATE(2018,8,17)</f>
        <v>43329</v>
      </c>
      <c r="P402" s="1">
        <v>1703</v>
      </c>
      <c r="Q402" s="1">
        <v>1200</v>
      </c>
      <c r="R402" s="1">
        <f t="shared" si="120"/>
        <v>1200</v>
      </c>
      <c r="S402" s="1">
        <v>2.5</v>
      </c>
      <c r="U402" s="1">
        <f t="shared" si="121"/>
        <v>684</v>
      </c>
      <c r="V402" s="7">
        <f t="shared" si="122"/>
        <v>1.7543859649122806</v>
      </c>
      <c r="W402" s="7">
        <f t="shared" si="123"/>
        <v>640.35087719298247</v>
      </c>
      <c r="X402" s="7">
        <f t="shared" si="124"/>
        <v>0.80043859649122806</v>
      </c>
      <c r="AA402" s="8">
        <f t="shared" si="125"/>
        <v>44927</v>
      </c>
      <c r="AB402" s="8">
        <f t="shared" si="126"/>
        <v>45291</v>
      </c>
      <c r="AC402" s="1">
        <v>2</v>
      </c>
      <c r="AD402" s="1">
        <f t="shared" si="127"/>
        <v>0</v>
      </c>
      <c r="AE402" s="1">
        <f t="shared" si="128"/>
        <v>0</v>
      </c>
      <c r="AF402" s="1">
        <f t="shared" si="129"/>
        <v>0</v>
      </c>
      <c r="AG402" s="1">
        <f t="shared" si="130"/>
        <v>0</v>
      </c>
      <c r="AH402" s="1">
        <f t="shared" si="131"/>
        <v>182.5</v>
      </c>
      <c r="AI402" s="5">
        <f t="shared" si="132"/>
        <v>0.5</v>
      </c>
      <c r="AJ402" s="5">
        <f t="shared" si="133"/>
        <v>0.40021929824561403</v>
      </c>
      <c r="AK402" s="5">
        <f t="shared" si="134"/>
        <v>0</v>
      </c>
      <c r="AL402" s="5">
        <f t="shared" si="135"/>
        <v>0</v>
      </c>
      <c r="AM402" s="5">
        <f t="shared" si="136"/>
        <v>0</v>
      </c>
      <c r="AN402" s="5">
        <f t="shared" si="137"/>
        <v>0</v>
      </c>
      <c r="AO402" s="1" t="s">
        <v>102</v>
      </c>
    </row>
    <row r="403" spans="1:41" x14ac:dyDescent="0.25">
      <c r="A403" s="1" t="s">
        <v>19</v>
      </c>
      <c r="B403" s="1" t="s">
        <v>37</v>
      </c>
      <c r="C403" s="1" t="s">
        <v>21</v>
      </c>
      <c r="D403" s="1" t="s">
        <v>38</v>
      </c>
      <c r="E403" s="1" t="s">
        <v>96</v>
      </c>
      <c r="F403" s="1" t="s">
        <v>103</v>
      </c>
      <c r="G403" s="1" t="s">
        <v>114</v>
      </c>
      <c r="H403" s="1" t="s">
        <v>592</v>
      </c>
      <c r="I403" s="1" t="s">
        <v>210</v>
      </c>
      <c r="J403" s="1" t="s">
        <v>101</v>
      </c>
      <c r="K403" s="1" t="s">
        <v>175</v>
      </c>
      <c r="L403" s="1">
        <v>2093261</v>
      </c>
      <c r="M403" s="1" t="s">
        <v>601</v>
      </c>
      <c r="N403" s="8">
        <f t="shared" si="138"/>
        <v>42646</v>
      </c>
      <c r="O403" s="8">
        <f>DATE(2018,8,17)</f>
        <v>43329</v>
      </c>
      <c r="P403" s="1">
        <v>1707</v>
      </c>
      <c r="Q403" s="1">
        <v>1200</v>
      </c>
      <c r="R403" s="1">
        <f t="shared" si="120"/>
        <v>1200</v>
      </c>
      <c r="S403" s="1">
        <v>2.5</v>
      </c>
      <c r="U403" s="1">
        <f t="shared" si="121"/>
        <v>684</v>
      </c>
      <c r="V403" s="7">
        <f t="shared" si="122"/>
        <v>1.7543859649122806</v>
      </c>
      <c r="W403" s="7">
        <f t="shared" si="123"/>
        <v>640.35087719298247</v>
      </c>
      <c r="X403" s="7">
        <f t="shared" si="124"/>
        <v>0.80043859649122806</v>
      </c>
      <c r="AA403" s="8">
        <f t="shared" si="125"/>
        <v>44927</v>
      </c>
      <c r="AB403" s="8">
        <f t="shared" si="126"/>
        <v>45291</v>
      </c>
      <c r="AC403" s="1">
        <v>1</v>
      </c>
      <c r="AD403" s="1">
        <f t="shared" si="127"/>
        <v>0</v>
      </c>
      <c r="AE403" s="1">
        <f t="shared" si="128"/>
        <v>0</v>
      </c>
      <c r="AF403" s="1">
        <f t="shared" si="129"/>
        <v>0</v>
      </c>
      <c r="AG403" s="1">
        <f t="shared" si="130"/>
        <v>0</v>
      </c>
      <c r="AH403" s="1">
        <f t="shared" si="131"/>
        <v>182.5</v>
      </c>
      <c r="AI403" s="5">
        <f t="shared" si="132"/>
        <v>0.5</v>
      </c>
      <c r="AJ403" s="5">
        <f t="shared" si="133"/>
        <v>0.40021929824561403</v>
      </c>
      <c r="AK403" s="5">
        <f t="shared" si="134"/>
        <v>0</v>
      </c>
      <c r="AL403" s="5">
        <f t="shared" si="135"/>
        <v>0</v>
      </c>
      <c r="AM403" s="5">
        <f t="shared" si="136"/>
        <v>0</v>
      </c>
      <c r="AN403" s="5">
        <f t="shared" si="137"/>
        <v>0</v>
      </c>
      <c r="AO403" s="1" t="s">
        <v>102</v>
      </c>
    </row>
    <row r="404" spans="1:41" x14ac:dyDescent="0.25">
      <c r="A404" s="1" t="s">
        <v>19</v>
      </c>
      <c r="B404" s="1" t="s">
        <v>37</v>
      </c>
      <c r="C404" s="1" t="s">
        <v>21</v>
      </c>
      <c r="D404" s="1" t="s">
        <v>38</v>
      </c>
      <c r="E404" s="1" t="s">
        <v>96</v>
      </c>
      <c r="F404" s="1" t="s">
        <v>103</v>
      </c>
      <c r="G404" s="1" t="s">
        <v>114</v>
      </c>
      <c r="H404" s="1" t="s">
        <v>574</v>
      </c>
      <c r="I404" s="1" t="s">
        <v>331</v>
      </c>
      <c r="J404" s="1" t="s">
        <v>101</v>
      </c>
      <c r="K404" s="1" t="s">
        <v>116</v>
      </c>
      <c r="L404" s="1">
        <v>2141487</v>
      </c>
      <c r="M404" s="1" t="s">
        <v>602</v>
      </c>
      <c r="N404" s="8">
        <f t="shared" ref="N404:N421" si="139">DATE(2017,4,17)</f>
        <v>42842</v>
      </c>
      <c r="O404" s="8">
        <f>DATE(2021,1,15)</f>
        <v>44211</v>
      </c>
      <c r="P404" s="1">
        <v>3860</v>
      </c>
      <c r="Q404" s="1">
        <v>1200</v>
      </c>
      <c r="R404" s="1">
        <f t="shared" si="120"/>
        <v>3200</v>
      </c>
      <c r="S404" s="1">
        <v>2.5</v>
      </c>
      <c r="U404" s="1">
        <f t="shared" si="121"/>
        <v>1370</v>
      </c>
      <c r="V404" s="7">
        <f t="shared" si="122"/>
        <v>2.335766423357664</v>
      </c>
      <c r="W404" s="7">
        <f t="shared" si="123"/>
        <v>852.55474452554733</v>
      </c>
      <c r="X404" s="7">
        <f t="shared" si="124"/>
        <v>1.0656934306569341</v>
      </c>
      <c r="AA404" s="8">
        <f t="shared" si="125"/>
        <v>44927</v>
      </c>
      <c r="AB404" s="8">
        <f t="shared" si="126"/>
        <v>45291</v>
      </c>
      <c r="AC404" s="1">
        <v>1</v>
      </c>
      <c r="AD404" s="1">
        <f t="shared" si="127"/>
        <v>0</v>
      </c>
      <c r="AE404" s="1">
        <f t="shared" si="128"/>
        <v>0</v>
      </c>
      <c r="AF404" s="1">
        <f t="shared" si="129"/>
        <v>0</v>
      </c>
      <c r="AG404" s="1">
        <f t="shared" si="130"/>
        <v>0</v>
      </c>
      <c r="AH404" s="1">
        <f t="shared" si="131"/>
        <v>182.5</v>
      </c>
      <c r="AI404" s="5">
        <f t="shared" si="132"/>
        <v>0.5</v>
      </c>
      <c r="AJ404" s="5">
        <f t="shared" si="133"/>
        <v>0.53284671532846706</v>
      </c>
      <c r="AK404" s="5">
        <f t="shared" si="134"/>
        <v>0.26642335766423353</v>
      </c>
      <c r="AL404" s="5">
        <f t="shared" si="135"/>
        <v>0.66605839416058377</v>
      </c>
      <c r="AM404" s="5">
        <f t="shared" si="136"/>
        <v>0</v>
      </c>
      <c r="AN404" s="5">
        <f t="shared" si="137"/>
        <v>0.66605839416058377</v>
      </c>
      <c r="AO404" s="1" t="s">
        <v>102</v>
      </c>
    </row>
    <row r="405" spans="1:41" x14ac:dyDescent="0.25">
      <c r="A405" s="1" t="s">
        <v>19</v>
      </c>
      <c r="B405" s="1" t="s">
        <v>37</v>
      </c>
      <c r="C405" s="1" t="s">
        <v>21</v>
      </c>
      <c r="D405" s="1" t="s">
        <v>38</v>
      </c>
      <c r="E405" s="1" t="s">
        <v>96</v>
      </c>
      <c r="F405" s="1" t="s">
        <v>103</v>
      </c>
      <c r="G405" s="1" t="s">
        <v>114</v>
      </c>
      <c r="H405" s="1" t="s">
        <v>569</v>
      </c>
      <c r="I405" s="1" t="s">
        <v>331</v>
      </c>
      <c r="J405" s="1" t="s">
        <v>101</v>
      </c>
      <c r="K405" s="1" t="s">
        <v>116</v>
      </c>
      <c r="L405" s="1">
        <v>2141489</v>
      </c>
      <c r="M405" s="1" t="s">
        <v>603</v>
      </c>
      <c r="N405" s="8">
        <f t="shared" si="139"/>
        <v>42842</v>
      </c>
      <c r="O405" s="8">
        <f>DATE(2021,1,15)</f>
        <v>44211</v>
      </c>
      <c r="P405" s="1">
        <v>3826</v>
      </c>
      <c r="Q405" s="1">
        <v>1200</v>
      </c>
      <c r="R405" s="1">
        <f t="shared" si="120"/>
        <v>3200</v>
      </c>
      <c r="S405" s="1">
        <v>2.5</v>
      </c>
      <c r="U405" s="1">
        <f t="shared" si="121"/>
        <v>1370</v>
      </c>
      <c r="V405" s="7">
        <f t="shared" si="122"/>
        <v>2.335766423357664</v>
      </c>
      <c r="W405" s="7">
        <f t="shared" si="123"/>
        <v>852.55474452554733</v>
      </c>
      <c r="X405" s="7">
        <f t="shared" si="124"/>
        <v>1.0656934306569341</v>
      </c>
      <c r="AA405" s="8">
        <f t="shared" si="125"/>
        <v>44927</v>
      </c>
      <c r="AB405" s="8">
        <f t="shared" si="126"/>
        <v>45291</v>
      </c>
      <c r="AC405" s="1">
        <v>3</v>
      </c>
      <c r="AD405" s="1">
        <f t="shared" si="127"/>
        <v>0</v>
      </c>
      <c r="AE405" s="1">
        <f t="shared" si="128"/>
        <v>0</v>
      </c>
      <c r="AF405" s="1">
        <f t="shared" si="129"/>
        <v>0</v>
      </c>
      <c r="AG405" s="1">
        <f t="shared" si="130"/>
        <v>0</v>
      </c>
      <c r="AH405" s="1">
        <f t="shared" si="131"/>
        <v>182.5</v>
      </c>
      <c r="AI405" s="5">
        <f t="shared" si="132"/>
        <v>0.5</v>
      </c>
      <c r="AJ405" s="5">
        <f t="shared" si="133"/>
        <v>0.53284671532846706</v>
      </c>
      <c r="AK405" s="5">
        <f t="shared" si="134"/>
        <v>0.79927007299270059</v>
      </c>
      <c r="AL405" s="5">
        <f t="shared" si="135"/>
        <v>1.9981751824817515</v>
      </c>
      <c r="AM405" s="5">
        <f t="shared" si="136"/>
        <v>0</v>
      </c>
      <c r="AN405" s="5">
        <f t="shared" si="137"/>
        <v>1.9981751824817515</v>
      </c>
      <c r="AO405" s="1" t="s">
        <v>102</v>
      </c>
    </row>
    <row r="406" spans="1:41" x14ac:dyDescent="0.25">
      <c r="A406" s="1" t="s">
        <v>19</v>
      </c>
      <c r="B406" s="1" t="s">
        <v>37</v>
      </c>
      <c r="C406" s="1" t="s">
        <v>21</v>
      </c>
      <c r="D406" s="1" t="s">
        <v>38</v>
      </c>
      <c r="E406" s="1" t="s">
        <v>96</v>
      </c>
      <c r="F406" s="1" t="s">
        <v>103</v>
      </c>
      <c r="G406" s="1" t="s">
        <v>114</v>
      </c>
      <c r="H406" s="1" t="s">
        <v>604</v>
      </c>
      <c r="I406" s="1" t="s">
        <v>210</v>
      </c>
      <c r="J406" s="1" t="s">
        <v>101</v>
      </c>
      <c r="K406" s="1" t="s">
        <v>116</v>
      </c>
      <c r="L406" s="1">
        <v>2141491</v>
      </c>
      <c r="M406" s="1" t="s">
        <v>605</v>
      </c>
      <c r="N406" s="8">
        <f t="shared" si="139"/>
        <v>42842</v>
      </c>
      <c r="O406" s="8">
        <f>DATE(2020,1,17)</f>
        <v>43847</v>
      </c>
      <c r="P406" s="1">
        <v>3672</v>
      </c>
      <c r="Q406" s="1">
        <v>1200</v>
      </c>
      <c r="R406" s="1">
        <f t="shared" si="120"/>
        <v>3200</v>
      </c>
      <c r="S406" s="1">
        <v>2.5</v>
      </c>
      <c r="U406" s="1">
        <f t="shared" si="121"/>
        <v>1006</v>
      </c>
      <c r="V406" s="7">
        <f t="shared" si="122"/>
        <v>3.1809145129224654</v>
      </c>
      <c r="W406" s="7">
        <f t="shared" si="123"/>
        <v>1161.0337972166999</v>
      </c>
      <c r="X406" s="7">
        <f t="shared" si="124"/>
        <v>1.4512922465208749</v>
      </c>
      <c r="AA406" s="8">
        <f t="shared" si="125"/>
        <v>44927</v>
      </c>
      <c r="AB406" s="8">
        <f t="shared" si="126"/>
        <v>45291</v>
      </c>
      <c r="AC406" s="1">
        <v>1</v>
      </c>
      <c r="AD406" s="1">
        <f t="shared" si="127"/>
        <v>0</v>
      </c>
      <c r="AE406" s="1">
        <f t="shared" si="128"/>
        <v>0</v>
      </c>
      <c r="AF406" s="1">
        <f t="shared" si="129"/>
        <v>0</v>
      </c>
      <c r="AG406" s="1">
        <f t="shared" si="130"/>
        <v>0</v>
      </c>
      <c r="AH406" s="1">
        <f t="shared" si="131"/>
        <v>182.5</v>
      </c>
      <c r="AI406" s="5">
        <f t="shared" si="132"/>
        <v>0.5</v>
      </c>
      <c r="AJ406" s="5">
        <f t="shared" si="133"/>
        <v>0.72564612326043743</v>
      </c>
      <c r="AK406" s="5">
        <f t="shared" si="134"/>
        <v>0.36282306163021871</v>
      </c>
      <c r="AL406" s="5">
        <f t="shared" si="135"/>
        <v>0.90705765407554684</v>
      </c>
      <c r="AM406" s="5">
        <f t="shared" si="136"/>
        <v>0</v>
      </c>
      <c r="AN406" s="5">
        <f t="shared" si="137"/>
        <v>0.90705765407554684</v>
      </c>
      <c r="AO406" s="1" t="s">
        <v>102</v>
      </c>
    </row>
    <row r="407" spans="1:41" x14ac:dyDescent="0.25">
      <c r="A407" s="1" t="s">
        <v>19</v>
      </c>
      <c r="B407" s="1" t="s">
        <v>37</v>
      </c>
      <c r="C407" s="1" t="s">
        <v>21</v>
      </c>
      <c r="D407" s="1" t="s">
        <v>38</v>
      </c>
      <c r="E407" s="1" t="s">
        <v>96</v>
      </c>
      <c r="F407" s="1" t="s">
        <v>103</v>
      </c>
      <c r="G407" s="1" t="s">
        <v>114</v>
      </c>
      <c r="H407" s="1" t="s">
        <v>260</v>
      </c>
      <c r="I407" s="1" t="s">
        <v>100</v>
      </c>
      <c r="J407" s="1" t="s">
        <v>101</v>
      </c>
      <c r="K407" s="1" t="s">
        <v>116</v>
      </c>
      <c r="L407" s="1">
        <v>2141498</v>
      </c>
      <c r="M407" s="1" t="s">
        <v>606</v>
      </c>
      <c r="N407" s="8">
        <f t="shared" si="139"/>
        <v>42842</v>
      </c>
      <c r="O407" s="8">
        <f>DATE(2020,1,17)</f>
        <v>43847</v>
      </c>
      <c r="P407" s="1">
        <v>3573</v>
      </c>
      <c r="Q407" s="1">
        <v>800</v>
      </c>
      <c r="R407" s="1">
        <f t="shared" si="120"/>
        <v>3000</v>
      </c>
      <c r="S407" s="1">
        <v>1.5</v>
      </c>
      <c r="U407" s="1">
        <f t="shared" si="121"/>
        <v>1006</v>
      </c>
      <c r="V407" s="7">
        <f t="shared" si="122"/>
        <v>2.982107355864811</v>
      </c>
      <c r="W407" s="7">
        <f t="shared" si="123"/>
        <v>1088.4691848906559</v>
      </c>
      <c r="X407" s="7">
        <f t="shared" si="124"/>
        <v>1.3605864811133199</v>
      </c>
      <c r="AA407" s="8">
        <f t="shared" si="125"/>
        <v>44927</v>
      </c>
      <c r="AB407" s="8">
        <f t="shared" si="126"/>
        <v>45291</v>
      </c>
      <c r="AC407" s="1">
        <v>1</v>
      </c>
      <c r="AD407" s="1">
        <f t="shared" si="127"/>
        <v>0</v>
      </c>
      <c r="AE407" s="1">
        <f t="shared" si="128"/>
        <v>0</v>
      </c>
      <c r="AF407" s="1">
        <f t="shared" si="129"/>
        <v>0</v>
      </c>
      <c r="AG407" s="1">
        <f t="shared" si="130"/>
        <v>0</v>
      </c>
      <c r="AH407" s="1">
        <f t="shared" si="131"/>
        <v>182.5</v>
      </c>
      <c r="AI407" s="5">
        <f t="shared" si="132"/>
        <v>0.5</v>
      </c>
      <c r="AJ407" s="5">
        <f t="shared" si="133"/>
        <v>0.68029324055665996</v>
      </c>
      <c r="AK407" s="5">
        <f t="shared" si="134"/>
        <v>0.34014662027832998</v>
      </c>
      <c r="AL407" s="5">
        <f t="shared" si="135"/>
        <v>0.51021993041749503</v>
      </c>
      <c r="AM407" s="5">
        <f t="shared" si="136"/>
        <v>0</v>
      </c>
      <c r="AN407" s="5">
        <f t="shared" si="137"/>
        <v>0.51021993041749503</v>
      </c>
      <c r="AO407" s="1" t="s">
        <v>102</v>
      </c>
    </row>
    <row r="408" spans="1:41" x14ac:dyDescent="0.25">
      <c r="A408" s="1" t="s">
        <v>19</v>
      </c>
      <c r="B408" s="1" t="s">
        <v>37</v>
      </c>
      <c r="C408" s="1" t="s">
        <v>21</v>
      </c>
      <c r="D408" s="1" t="s">
        <v>38</v>
      </c>
      <c r="E408" s="1" t="s">
        <v>96</v>
      </c>
      <c r="F408" s="1" t="s">
        <v>103</v>
      </c>
      <c r="G408" s="1" t="s">
        <v>114</v>
      </c>
      <c r="H408" s="1" t="s">
        <v>247</v>
      </c>
      <c r="I408" s="1" t="s">
        <v>162</v>
      </c>
      <c r="J408" s="1" t="s">
        <v>101</v>
      </c>
      <c r="K408" s="1" t="s">
        <v>116</v>
      </c>
      <c r="L408" s="1">
        <v>2141499</v>
      </c>
      <c r="M408" s="1" t="s">
        <v>607</v>
      </c>
      <c r="N408" s="8">
        <f t="shared" si="139"/>
        <v>42842</v>
      </c>
      <c r="O408" s="8">
        <f>DATE(2020,1,17)</f>
        <v>43847</v>
      </c>
      <c r="P408" s="1">
        <v>3740</v>
      </c>
      <c r="Q408" s="1">
        <v>1200</v>
      </c>
      <c r="R408" s="1">
        <f t="shared" si="120"/>
        <v>3200</v>
      </c>
      <c r="S408" s="1">
        <v>1.5</v>
      </c>
      <c r="U408" s="1">
        <f t="shared" si="121"/>
        <v>1006</v>
      </c>
      <c r="V408" s="7">
        <f t="shared" si="122"/>
        <v>3.1809145129224654</v>
      </c>
      <c r="W408" s="7">
        <f t="shared" si="123"/>
        <v>1161.0337972166999</v>
      </c>
      <c r="X408" s="7">
        <f t="shared" si="124"/>
        <v>1.4512922465208749</v>
      </c>
      <c r="AA408" s="8">
        <f t="shared" si="125"/>
        <v>44927</v>
      </c>
      <c r="AB408" s="8">
        <f t="shared" si="126"/>
        <v>45291</v>
      </c>
      <c r="AC408" s="1">
        <v>1</v>
      </c>
      <c r="AD408" s="1">
        <f t="shared" si="127"/>
        <v>0</v>
      </c>
      <c r="AE408" s="1">
        <f t="shared" si="128"/>
        <v>0</v>
      </c>
      <c r="AF408" s="1">
        <f t="shared" si="129"/>
        <v>0</v>
      </c>
      <c r="AG408" s="1">
        <f t="shared" si="130"/>
        <v>0</v>
      </c>
      <c r="AH408" s="1">
        <f t="shared" si="131"/>
        <v>182.5</v>
      </c>
      <c r="AI408" s="5">
        <f t="shared" si="132"/>
        <v>0.5</v>
      </c>
      <c r="AJ408" s="5">
        <f t="shared" si="133"/>
        <v>0.72564612326043743</v>
      </c>
      <c r="AK408" s="5">
        <f t="shared" si="134"/>
        <v>0.36282306163021871</v>
      </c>
      <c r="AL408" s="5">
        <f t="shared" si="135"/>
        <v>0.54423459244532801</v>
      </c>
      <c r="AM408" s="5">
        <f t="shared" si="136"/>
        <v>0</v>
      </c>
      <c r="AN408" s="5">
        <f t="shared" si="137"/>
        <v>0.54423459244532801</v>
      </c>
      <c r="AO408" s="1" t="s">
        <v>102</v>
      </c>
    </row>
    <row r="409" spans="1:41" x14ac:dyDescent="0.25">
      <c r="A409" s="1" t="s">
        <v>19</v>
      </c>
      <c r="B409" s="1" t="s">
        <v>37</v>
      </c>
      <c r="C409" s="1" t="s">
        <v>21</v>
      </c>
      <c r="D409" s="1" t="s">
        <v>38</v>
      </c>
      <c r="E409" s="1" t="s">
        <v>96</v>
      </c>
      <c r="F409" s="1" t="s">
        <v>103</v>
      </c>
      <c r="G409" s="1" t="s">
        <v>114</v>
      </c>
      <c r="H409" s="1" t="s">
        <v>569</v>
      </c>
      <c r="I409" s="1" t="s">
        <v>331</v>
      </c>
      <c r="J409" s="1" t="s">
        <v>101</v>
      </c>
      <c r="K409" s="1" t="s">
        <v>175</v>
      </c>
      <c r="L409" s="1">
        <v>2141564</v>
      </c>
      <c r="M409" s="1" t="s">
        <v>608</v>
      </c>
      <c r="N409" s="8">
        <f t="shared" si="139"/>
        <v>42842</v>
      </c>
      <c r="O409" s="8">
        <f>DATE(2019,2,15)</f>
        <v>43511</v>
      </c>
      <c r="P409" s="1">
        <v>1294</v>
      </c>
      <c r="Q409" s="1">
        <v>1200</v>
      </c>
      <c r="R409" s="1">
        <f t="shared" si="120"/>
        <v>1200</v>
      </c>
      <c r="S409" s="1">
        <v>2.5</v>
      </c>
      <c r="U409" s="1">
        <f t="shared" si="121"/>
        <v>670</v>
      </c>
      <c r="V409" s="7">
        <f t="shared" si="122"/>
        <v>1.791044776119403</v>
      </c>
      <c r="W409" s="7">
        <f t="shared" si="123"/>
        <v>653.73134328358208</v>
      </c>
      <c r="X409" s="7">
        <f t="shared" si="124"/>
        <v>0.81716417910447758</v>
      </c>
      <c r="AA409" s="8">
        <f t="shared" si="125"/>
        <v>44927</v>
      </c>
      <c r="AB409" s="8">
        <f t="shared" si="126"/>
        <v>45291</v>
      </c>
      <c r="AC409" s="1">
        <v>0</v>
      </c>
      <c r="AD409" s="1">
        <f t="shared" si="127"/>
        <v>0</v>
      </c>
      <c r="AE409" s="1">
        <f t="shared" si="128"/>
        <v>0</v>
      </c>
      <c r="AF409" s="1">
        <f t="shared" si="129"/>
        <v>0</v>
      </c>
      <c r="AG409" s="1">
        <f t="shared" si="130"/>
        <v>0</v>
      </c>
      <c r="AH409" s="1">
        <f t="shared" si="131"/>
        <v>182.5</v>
      </c>
      <c r="AI409" s="5">
        <f t="shared" si="132"/>
        <v>0.5</v>
      </c>
      <c r="AJ409" s="5">
        <f t="shared" si="133"/>
        <v>0.40858208955223879</v>
      </c>
      <c r="AK409" s="5">
        <f t="shared" si="134"/>
        <v>0</v>
      </c>
      <c r="AL409" s="5">
        <f t="shared" si="135"/>
        <v>0</v>
      </c>
      <c r="AM409" s="5">
        <f t="shared" si="136"/>
        <v>0</v>
      </c>
      <c r="AN409" s="5">
        <f t="shared" si="137"/>
        <v>0</v>
      </c>
      <c r="AO409" s="1" t="s">
        <v>102</v>
      </c>
    </row>
    <row r="410" spans="1:41" x14ac:dyDescent="0.25">
      <c r="A410" s="1" t="s">
        <v>19</v>
      </c>
      <c r="B410" s="1" t="s">
        <v>37</v>
      </c>
      <c r="C410" s="1" t="s">
        <v>21</v>
      </c>
      <c r="D410" s="1" t="s">
        <v>38</v>
      </c>
      <c r="E410" s="1" t="s">
        <v>96</v>
      </c>
      <c r="F410" s="1" t="s">
        <v>103</v>
      </c>
      <c r="G410" s="1" t="s">
        <v>114</v>
      </c>
      <c r="H410" s="1" t="s">
        <v>590</v>
      </c>
      <c r="I410" s="1" t="s">
        <v>210</v>
      </c>
      <c r="J410" s="1" t="s">
        <v>101</v>
      </c>
      <c r="K410" s="1" t="s">
        <v>175</v>
      </c>
      <c r="L410" s="1">
        <v>2141596</v>
      </c>
      <c r="M410" s="1" t="s">
        <v>609</v>
      </c>
      <c r="N410" s="8">
        <f t="shared" si="139"/>
        <v>42842</v>
      </c>
      <c r="O410" s="8">
        <f>DATE(2019,2,15)</f>
        <v>43511</v>
      </c>
      <c r="P410" s="1">
        <v>1703</v>
      </c>
      <c r="Q410" s="1">
        <v>1200</v>
      </c>
      <c r="R410" s="1">
        <f t="shared" si="120"/>
        <v>1200</v>
      </c>
      <c r="S410" s="1">
        <v>2.5</v>
      </c>
      <c r="U410" s="1">
        <f t="shared" si="121"/>
        <v>670</v>
      </c>
      <c r="V410" s="7">
        <f t="shared" si="122"/>
        <v>1.791044776119403</v>
      </c>
      <c r="W410" s="7">
        <f t="shared" si="123"/>
        <v>653.73134328358208</v>
      </c>
      <c r="X410" s="7">
        <f t="shared" si="124"/>
        <v>0.81716417910447758</v>
      </c>
      <c r="AA410" s="8">
        <f t="shared" si="125"/>
        <v>44927</v>
      </c>
      <c r="AB410" s="8">
        <f t="shared" si="126"/>
        <v>45291</v>
      </c>
      <c r="AC410" s="1">
        <v>0</v>
      </c>
      <c r="AD410" s="1">
        <f t="shared" si="127"/>
        <v>0</v>
      </c>
      <c r="AE410" s="1">
        <f t="shared" si="128"/>
        <v>0</v>
      </c>
      <c r="AF410" s="1">
        <f t="shared" si="129"/>
        <v>0</v>
      </c>
      <c r="AG410" s="1">
        <f t="shared" si="130"/>
        <v>0</v>
      </c>
      <c r="AH410" s="1">
        <f t="shared" si="131"/>
        <v>182.5</v>
      </c>
      <c r="AI410" s="5">
        <f t="shared" si="132"/>
        <v>0.5</v>
      </c>
      <c r="AJ410" s="5">
        <f t="shared" si="133"/>
        <v>0.40858208955223879</v>
      </c>
      <c r="AK410" s="5">
        <f t="shared" si="134"/>
        <v>0</v>
      </c>
      <c r="AL410" s="5">
        <f t="shared" si="135"/>
        <v>0</v>
      </c>
      <c r="AM410" s="5">
        <f t="shared" si="136"/>
        <v>0</v>
      </c>
      <c r="AN410" s="5">
        <f t="shared" si="137"/>
        <v>0</v>
      </c>
      <c r="AO410" s="1" t="s">
        <v>102</v>
      </c>
    </row>
    <row r="411" spans="1:41" x14ac:dyDescent="0.25">
      <c r="A411" s="1" t="s">
        <v>19</v>
      </c>
      <c r="B411" s="1" t="s">
        <v>37</v>
      </c>
      <c r="C411" s="1" t="s">
        <v>21</v>
      </c>
      <c r="D411" s="1" t="s">
        <v>38</v>
      </c>
      <c r="E411" s="1" t="s">
        <v>96</v>
      </c>
      <c r="F411" s="1" t="s">
        <v>103</v>
      </c>
      <c r="G411" s="1" t="s">
        <v>114</v>
      </c>
      <c r="H411" s="1" t="s">
        <v>592</v>
      </c>
      <c r="I411" s="1" t="s">
        <v>210</v>
      </c>
      <c r="J411" s="1" t="s">
        <v>101</v>
      </c>
      <c r="K411" s="1" t="s">
        <v>175</v>
      </c>
      <c r="L411" s="1">
        <v>2141599</v>
      </c>
      <c r="M411" s="1" t="s">
        <v>610</v>
      </c>
      <c r="N411" s="8">
        <f t="shared" si="139"/>
        <v>42842</v>
      </c>
      <c r="O411" s="8">
        <f>DATE(2019,2,15)</f>
        <v>43511</v>
      </c>
      <c r="P411" s="1">
        <v>1707</v>
      </c>
      <c r="Q411" s="1">
        <v>1200</v>
      </c>
      <c r="R411" s="1">
        <f t="shared" si="120"/>
        <v>1200</v>
      </c>
      <c r="S411" s="1">
        <v>2.5</v>
      </c>
      <c r="U411" s="1">
        <f t="shared" si="121"/>
        <v>670</v>
      </c>
      <c r="V411" s="7">
        <f t="shared" si="122"/>
        <v>1.791044776119403</v>
      </c>
      <c r="W411" s="7">
        <f t="shared" si="123"/>
        <v>653.73134328358208</v>
      </c>
      <c r="X411" s="7">
        <f t="shared" si="124"/>
        <v>0.81716417910447758</v>
      </c>
      <c r="AA411" s="8">
        <f t="shared" si="125"/>
        <v>44927</v>
      </c>
      <c r="AB411" s="8">
        <f t="shared" si="126"/>
        <v>45291</v>
      </c>
      <c r="AC411" s="1">
        <v>0</v>
      </c>
      <c r="AD411" s="1">
        <f t="shared" si="127"/>
        <v>0</v>
      </c>
      <c r="AE411" s="1">
        <f t="shared" si="128"/>
        <v>0</v>
      </c>
      <c r="AF411" s="1">
        <f t="shared" si="129"/>
        <v>0</v>
      </c>
      <c r="AG411" s="1">
        <f t="shared" si="130"/>
        <v>0</v>
      </c>
      <c r="AH411" s="1">
        <f t="shared" si="131"/>
        <v>182.5</v>
      </c>
      <c r="AI411" s="5">
        <f t="shared" si="132"/>
        <v>0.5</v>
      </c>
      <c r="AJ411" s="5">
        <f t="shared" si="133"/>
        <v>0.40858208955223879</v>
      </c>
      <c r="AK411" s="5">
        <f t="shared" si="134"/>
        <v>0</v>
      </c>
      <c r="AL411" s="5">
        <f t="shared" si="135"/>
        <v>0</v>
      </c>
      <c r="AM411" s="5">
        <f t="shared" si="136"/>
        <v>0</v>
      </c>
      <c r="AN411" s="5">
        <f t="shared" si="137"/>
        <v>0</v>
      </c>
      <c r="AO411" s="1" t="s">
        <v>102</v>
      </c>
    </row>
    <row r="412" spans="1:41" x14ac:dyDescent="0.25">
      <c r="A412" s="1" t="s">
        <v>19</v>
      </c>
      <c r="B412" s="1" t="s">
        <v>37</v>
      </c>
      <c r="C412" s="1" t="s">
        <v>21</v>
      </c>
      <c r="D412" s="1" t="s">
        <v>38</v>
      </c>
      <c r="E412" s="1" t="s">
        <v>172</v>
      </c>
      <c r="F412" s="1" t="s">
        <v>534</v>
      </c>
      <c r="G412" s="1" t="s">
        <v>127</v>
      </c>
      <c r="H412" s="1" t="s">
        <v>528</v>
      </c>
      <c r="I412" s="1" t="s">
        <v>162</v>
      </c>
      <c r="J412" s="1" t="s">
        <v>101</v>
      </c>
      <c r="L412" s="1">
        <v>2141607</v>
      </c>
      <c r="M412" s="1" t="s">
        <v>611</v>
      </c>
      <c r="N412" s="8">
        <f t="shared" si="139"/>
        <v>42842</v>
      </c>
      <c r="O412" s="8">
        <f>DATE(2020,1,17)</f>
        <v>43847</v>
      </c>
      <c r="P412" s="1">
        <v>2280</v>
      </c>
      <c r="Q412" s="1">
        <v>2000</v>
      </c>
      <c r="R412" s="1">
        <f t="shared" si="120"/>
        <v>2000</v>
      </c>
      <c r="S412" s="1">
        <v>1</v>
      </c>
      <c r="U412" s="1">
        <f t="shared" si="121"/>
        <v>1006</v>
      </c>
      <c r="V412" s="7">
        <f t="shared" si="122"/>
        <v>1.9880715705765408</v>
      </c>
      <c r="W412" s="7">
        <f t="shared" si="123"/>
        <v>725.64612326043743</v>
      </c>
      <c r="X412" s="7">
        <f t="shared" si="124"/>
        <v>0.90705765407554684</v>
      </c>
      <c r="AA412" s="8">
        <f t="shared" si="125"/>
        <v>44927</v>
      </c>
      <c r="AB412" s="8">
        <f t="shared" si="126"/>
        <v>45291</v>
      </c>
      <c r="AC412" s="1">
        <v>323</v>
      </c>
      <c r="AD412" s="1">
        <f t="shared" si="127"/>
        <v>0</v>
      </c>
      <c r="AE412" s="1">
        <f t="shared" si="128"/>
        <v>0</v>
      </c>
      <c r="AF412" s="1">
        <f t="shared" si="129"/>
        <v>0</v>
      </c>
      <c r="AG412" s="1">
        <f t="shared" si="130"/>
        <v>0</v>
      </c>
      <c r="AH412" s="1">
        <f t="shared" si="131"/>
        <v>182.5</v>
      </c>
      <c r="AI412" s="5">
        <f t="shared" si="132"/>
        <v>0.5</v>
      </c>
      <c r="AJ412" s="5">
        <f t="shared" si="133"/>
        <v>0.45352882703777342</v>
      </c>
      <c r="AK412" s="5">
        <f t="shared" si="134"/>
        <v>73.244905566600409</v>
      </c>
      <c r="AL412" s="5">
        <f t="shared" si="135"/>
        <v>73.244905566600409</v>
      </c>
      <c r="AM412" s="5">
        <f t="shared" si="136"/>
        <v>0</v>
      </c>
      <c r="AN412" s="5">
        <f t="shared" si="137"/>
        <v>73.244905566600409</v>
      </c>
      <c r="AO412" s="1" t="s">
        <v>111</v>
      </c>
    </row>
    <row r="413" spans="1:41" x14ac:dyDescent="0.25">
      <c r="A413" s="1" t="s">
        <v>19</v>
      </c>
      <c r="B413" s="1" t="s">
        <v>37</v>
      </c>
      <c r="C413" s="1" t="s">
        <v>21</v>
      </c>
      <c r="D413" s="1" t="s">
        <v>38</v>
      </c>
      <c r="E413" s="1" t="s">
        <v>96</v>
      </c>
      <c r="F413" s="1" t="s">
        <v>103</v>
      </c>
      <c r="G413" s="1" t="s">
        <v>98</v>
      </c>
      <c r="H413" s="1" t="s">
        <v>537</v>
      </c>
      <c r="I413" s="1" t="s">
        <v>162</v>
      </c>
      <c r="J413" s="1" t="s">
        <v>101</v>
      </c>
      <c r="L413" s="1">
        <v>2142003</v>
      </c>
      <c r="M413" s="1" t="s">
        <v>612</v>
      </c>
      <c r="N413" s="8">
        <f t="shared" si="139"/>
        <v>42842</v>
      </c>
      <c r="O413" s="8">
        <f>DATE(2021,12,23)</f>
        <v>44553</v>
      </c>
      <c r="P413" s="1">
        <v>4280</v>
      </c>
      <c r="Q413" s="1">
        <v>3200</v>
      </c>
      <c r="R413" s="1">
        <f t="shared" si="120"/>
        <v>3200</v>
      </c>
      <c r="S413" s="1">
        <v>2.5</v>
      </c>
      <c r="U413" s="1">
        <f t="shared" si="121"/>
        <v>1712</v>
      </c>
      <c r="V413" s="7">
        <f t="shared" si="122"/>
        <v>1.8691588785046729</v>
      </c>
      <c r="W413" s="7">
        <f t="shared" si="123"/>
        <v>682.24299065420564</v>
      </c>
      <c r="X413" s="7">
        <f t="shared" si="124"/>
        <v>0.85280373831775702</v>
      </c>
      <c r="AA413" s="8">
        <f t="shared" si="125"/>
        <v>44927</v>
      </c>
      <c r="AB413" s="8">
        <f t="shared" si="126"/>
        <v>45291</v>
      </c>
      <c r="AC413" s="1">
        <v>19</v>
      </c>
      <c r="AD413" s="1">
        <f t="shared" si="127"/>
        <v>0</v>
      </c>
      <c r="AE413" s="1">
        <f t="shared" si="128"/>
        <v>0</v>
      </c>
      <c r="AF413" s="1">
        <f t="shared" si="129"/>
        <v>0</v>
      </c>
      <c r="AG413" s="1">
        <f t="shared" si="130"/>
        <v>0</v>
      </c>
      <c r="AH413" s="1">
        <f t="shared" si="131"/>
        <v>182.5</v>
      </c>
      <c r="AI413" s="5">
        <f t="shared" si="132"/>
        <v>0.5</v>
      </c>
      <c r="AJ413" s="5">
        <f t="shared" si="133"/>
        <v>0.42640186915887851</v>
      </c>
      <c r="AK413" s="5">
        <f t="shared" si="134"/>
        <v>4.0508177570093462</v>
      </c>
      <c r="AL413" s="5">
        <f t="shared" si="135"/>
        <v>10.127044392523366</v>
      </c>
      <c r="AM413" s="5">
        <f t="shared" si="136"/>
        <v>0</v>
      </c>
      <c r="AN413" s="5">
        <f t="shared" si="137"/>
        <v>10.127044392523366</v>
      </c>
      <c r="AO413" s="1" t="s">
        <v>102</v>
      </c>
    </row>
    <row r="414" spans="1:41" x14ac:dyDescent="0.25">
      <c r="A414" s="1" t="s">
        <v>19</v>
      </c>
      <c r="B414" s="1" t="s">
        <v>37</v>
      </c>
      <c r="C414" s="1" t="s">
        <v>21</v>
      </c>
      <c r="D414" s="1" t="s">
        <v>38</v>
      </c>
      <c r="E414" s="1" t="s">
        <v>96</v>
      </c>
      <c r="F414" s="1" t="s">
        <v>103</v>
      </c>
      <c r="G414" s="1" t="s">
        <v>98</v>
      </c>
      <c r="H414" s="1" t="s">
        <v>542</v>
      </c>
      <c r="I414" s="1" t="s">
        <v>210</v>
      </c>
      <c r="J414" s="1" t="s">
        <v>101</v>
      </c>
      <c r="L414" s="1">
        <v>2142011</v>
      </c>
      <c r="M414" s="1" t="s">
        <v>613</v>
      </c>
      <c r="N414" s="8">
        <f t="shared" si="139"/>
        <v>42842</v>
      </c>
      <c r="O414" s="8">
        <f>DATE(2021,12,23)</f>
        <v>44553</v>
      </c>
      <c r="P414" s="1">
        <v>4430</v>
      </c>
      <c r="Q414" s="1">
        <v>3600</v>
      </c>
      <c r="R414" s="1">
        <f t="shared" si="120"/>
        <v>3600</v>
      </c>
      <c r="S414" s="1">
        <v>2.5</v>
      </c>
      <c r="U414" s="1">
        <f t="shared" si="121"/>
        <v>1712</v>
      </c>
      <c r="V414" s="7">
        <f t="shared" si="122"/>
        <v>2.1028037383177569</v>
      </c>
      <c r="W414" s="7">
        <f t="shared" si="123"/>
        <v>767.52336448598123</v>
      </c>
      <c r="X414" s="7">
        <f t="shared" si="124"/>
        <v>0.95940420560747652</v>
      </c>
      <c r="AA414" s="8">
        <f t="shared" si="125"/>
        <v>44927</v>
      </c>
      <c r="AB414" s="8">
        <f t="shared" si="126"/>
        <v>45291</v>
      </c>
      <c r="AC414" s="1">
        <v>12</v>
      </c>
      <c r="AD414" s="1">
        <f t="shared" si="127"/>
        <v>0</v>
      </c>
      <c r="AE414" s="1">
        <f t="shared" si="128"/>
        <v>0</v>
      </c>
      <c r="AF414" s="1">
        <f t="shared" si="129"/>
        <v>0</v>
      </c>
      <c r="AG414" s="1">
        <f t="shared" si="130"/>
        <v>0</v>
      </c>
      <c r="AH414" s="1">
        <f t="shared" si="131"/>
        <v>182.5</v>
      </c>
      <c r="AI414" s="5">
        <f t="shared" si="132"/>
        <v>0.5</v>
      </c>
      <c r="AJ414" s="5">
        <f t="shared" si="133"/>
        <v>0.47970210280373826</v>
      </c>
      <c r="AK414" s="5">
        <f t="shared" si="134"/>
        <v>2.8782126168224296</v>
      </c>
      <c r="AL414" s="5">
        <f t="shared" si="135"/>
        <v>7.1955315420560737</v>
      </c>
      <c r="AM414" s="5">
        <f t="shared" si="136"/>
        <v>0</v>
      </c>
      <c r="AN414" s="5">
        <f t="shared" si="137"/>
        <v>7.1955315420560737</v>
      </c>
      <c r="AO414" s="1" t="s">
        <v>102</v>
      </c>
    </row>
    <row r="415" spans="1:41" x14ac:dyDescent="0.25">
      <c r="A415" s="1" t="s">
        <v>19</v>
      </c>
      <c r="B415" s="1" t="s">
        <v>37</v>
      </c>
      <c r="C415" s="1" t="s">
        <v>21</v>
      </c>
      <c r="D415" s="1" t="s">
        <v>38</v>
      </c>
      <c r="E415" s="1" t="s">
        <v>96</v>
      </c>
      <c r="F415" s="1" t="s">
        <v>103</v>
      </c>
      <c r="G415" s="1" t="s">
        <v>98</v>
      </c>
      <c r="H415" s="1" t="s">
        <v>523</v>
      </c>
      <c r="I415" s="1" t="s">
        <v>100</v>
      </c>
      <c r="J415" s="1" t="s">
        <v>101</v>
      </c>
      <c r="L415" s="1">
        <v>2142016</v>
      </c>
      <c r="M415" s="1" t="s">
        <v>614</v>
      </c>
      <c r="N415" s="8">
        <f t="shared" si="139"/>
        <v>42842</v>
      </c>
      <c r="O415" s="8">
        <f>DATE(2021,2,19)</f>
        <v>44246</v>
      </c>
      <c r="P415" s="1">
        <v>2587</v>
      </c>
      <c r="Q415" s="1">
        <v>2400</v>
      </c>
      <c r="R415" s="1">
        <f t="shared" si="120"/>
        <v>2400</v>
      </c>
      <c r="S415" s="1">
        <v>1</v>
      </c>
      <c r="U415" s="1">
        <f t="shared" si="121"/>
        <v>1405</v>
      </c>
      <c r="V415" s="7">
        <f t="shared" si="122"/>
        <v>1.708185053380783</v>
      </c>
      <c r="W415" s="7">
        <f t="shared" si="123"/>
        <v>623.48754448398574</v>
      </c>
      <c r="X415" s="7">
        <f t="shared" si="124"/>
        <v>0.77935943060498214</v>
      </c>
      <c r="AA415" s="8">
        <f t="shared" si="125"/>
        <v>44927</v>
      </c>
      <c r="AB415" s="8">
        <f t="shared" si="126"/>
        <v>45291</v>
      </c>
      <c r="AC415" s="1">
        <v>7</v>
      </c>
      <c r="AD415" s="1">
        <f t="shared" si="127"/>
        <v>0</v>
      </c>
      <c r="AE415" s="1">
        <f t="shared" si="128"/>
        <v>0</v>
      </c>
      <c r="AF415" s="1">
        <f t="shared" si="129"/>
        <v>0</v>
      </c>
      <c r="AG415" s="1">
        <f t="shared" si="130"/>
        <v>0</v>
      </c>
      <c r="AH415" s="1">
        <f t="shared" si="131"/>
        <v>182.5</v>
      </c>
      <c r="AI415" s="5">
        <f t="shared" si="132"/>
        <v>0.5</v>
      </c>
      <c r="AJ415" s="5">
        <f t="shared" si="133"/>
        <v>0.38967971530249107</v>
      </c>
      <c r="AK415" s="5">
        <f t="shared" si="134"/>
        <v>1.3638790035587187</v>
      </c>
      <c r="AL415" s="5">
        <f t="shared" si="135"/>
        <v>1.3638790035587187</v>
      </c>
      <c r="AM415" s="5">
        <f t="shared" si="136"/>
        <v>0</v>
      </c>
      <c r="AN415" s="5">
        <f t="shared" si="137"/>
        <v>1.3638790035587187</v>
      </c>
      <c r="AO415" s="1" t="s">
        <v>102</v>
      </c>
    </row>
    <row r="416" spans="1:41" x14ac:dyDescent="0.25">
      <c r="A416" s="1" t="s">
        <v>19</v>
      </c>
      <c r="B416" s="1" t="s">
        <v>37</v>
      </c>
      <c r="C416" s="1" t="s">
        <v>21</v>
      </c>
      <c r="D416" s="1" t="s">
        <v>38</v>
      </c>
      <c r="E416" s="1" t="s">
        <v>96</v>
      </c>
      <c r="F416" s="1" t="s">
        <v>103</v>
      </c>
      <c r="G416" s="1" t="s">
        <v>98</v>
      </c>
      <c r="H416" s="1" t="s">
        <v>566</v>
      </c>
      <c r="I416" s="1" t="s">
        <v>336</v>
      </c>
      <c r="J416" s="1" t="s">
        <v>101</v>
      </c>
      <c r="L416" s="1">
        <v>2142017</v>
      </c>
      <c r="M416" s="1" t="s">
        <v>615</v>
      </c>
      <c r="N416" s="8">
        <f t="shared" si="139"/>
        <v>42842</v>
      </c>
      <c r="O416" s="8">
        <f>DATE(2020,1,17)</f>
        <v>43847</v>
      </c>
      <c r="P416" s="1">
        <v>2600</v>
      </c>
      <c r="Q416" s="1">
        <v>2400</v>
      </c>
      <c r="R416" s="1">
        <f t="shared" si="120"/>
        <v>2400</v>
      </c>
      <c r="S416" s="1">
        <v>1</v>
      </c>
      <c r="U416" s="1">
        <f t="shared" si="121"/>
        <v>1006</v>
      </c>
      <c r="V416" s="7">
        <f t="shared" si="122"/>
        <v>2.3856858846918487</v>
      </c>
      <c r="W416" s="7">
        <f t="shared" si="123"/>
        <v>870.77534791252481</v>
      </c>
      <c r="X416" s="7">
        <f t="shared" si="124"/>
        <v>1.088469184890656</v>
      </c>
      <c r="AA416" s="8">
        <f t="shared" si="125"/>
        <v>44927</v>
      </c>
      <c r="AB416" s="8">
        <f t="shared" si="126"/>
        <v>45291</v>
      </c>
      <c r="AC416" s="1">
        <v>7</v>
      </c>
      <c r="AD416" s="1">
        <f t="shared" si="127"/>
        <v>0</v>
      </c>
      <c r="AE416" s="1">
        <f t="shared" si="128"/>
        <v>0</v>
      </c>
      <c r="AF416" s="1">
        <f t="shared" si="129"/>
        <v>0</v>
      </c>
      <c r="AG416" s="1">
        <f t="shared" si="130"/>
        <v>0</v>
      </c>
      <c r="AH416" s="1">
        <f t="shared" si="131"/>
        <v>182.5</v>
      </c>
      <c r="AI416" s="5">
        <f t="shared" si="132"/>
        <v>0.5</v>
      </c>
      <c r="AJ416" s="5">
        <f t="shared" si="133"/>
        <v>0.54423459244532801</v>
      </c>
      <c r="AK416" s="5">
        <f t="shared" si="134"/>
        <v>1.9048210735586482</v>
      </c>
      <c r="AL416" s="5">
        <f t="shared" si="135"/>
        <v>1.9048210735586482</v>
      </c>
      <c r="AM416" s="5">
        <f t="shared" si="136"/>
        <v>0</v>
      </c>
      <c r="AN416" s="5">
        <f t="shared" si="137"/>
        <v>1.9048210735586482</v>
      </c>
      <c r="AO416" s="1" t="s">
        <v>102</v>
      </c>
    </row>
    <row r="417" spans="1:41" x14ac:dyDescent="0.25">
      <c r="A417" s="1" t="s">
        <v>19</v>
      </c>
      <c r="B417" s="1" t="s">
        <v>37</v>
      </c>
      <c r="C417" s="1" t="s">
        <v>21</v>
      </c>
      <c r="D417" s="1" t="s">
        <v>38</v>
      </c>
      <c r="E417" s="1" t="s">
        <v>96</v>
      </c>
      <c r="F417" s="1" t="s">
        <v>103</v>
      </c>
      <c r="G417" s="1" t="s">
        <v>127</v>
      </c>
      <c r="H417" s="1" t="s">
        <v>520</v>
      </c>
      <c r="I417" s="1" t="s">
        <v>210</v>
      </c>
      <c r="J417" s="1" t="s">
        <v>101</v>
      </c>
      <c r="L417" s="1">
        <v>2142018</v>
      </c>
      <c r="M417" s="1" t="s">
        <v>616</v>
      </c>
      <c r="N417" s="8">
        <f t="shared" si="139"/>
        <v>42842</v>
      </c>
      <c r="O417" s="8">
        <f>DATE(2020,8,14)</f>
        <v>44057</v>
      </c>
      <c r="P417" s="1">
        <v>2406</v>
      </c>
      <c r="Q417" s="1">
        <v>2400</v>
      </c>
      <c r="R417" s="1">
        <f t="shared" si="120"/>
        <v>2400</v>
      </c>
      <c r="S417" s="1">
        <v>2.5</v>
      </c>
      <c r="U417" s="1">
        <f t="shared" si="121"/>
        <v>1216</v>
      </c>
      <c r="V417" s="7">
        <f t="shared" si="122"/>
        <v>1.9736842105263157</v>
      </c>
      <c r="W417" s="7">
        <f t="shared" si="123"/>
        <v>720.3947368421052</v>
      </c>
      <c r="X417" s="7">
        <f t="shared" si="124"/>
        <v>0.90049342105263153</v>
      </c>
      <c r="AA417" s="8">
        <f t="shared" si="125"/>
        <v>44927</v>
      </c>
      <c r="AB417" s="8">
        <f t="shared" si="126"/>
        <v>45291</v>
      </c>
      <c r="AC417" s="1">
        <v>4</v>
      </c>
      <c r="AD417" s="1">
        <f t="shared" si="127"/>
        <v>0</v>
      </c>
      <c r="AE417" s="1">
        <f t="shared" si="128"/>
        <v>0</v>
      </c>
      <c r="AF417" s="1">
        <f t="shared" si="129"/>
        <v>0</v>
      </c>
      <c r="AG417" s="1">
        <f t="shared" si="130"/>
        <v>0</v>
      </c>
      <c r="AH417" s="1">
        <f t="shared" si="131"/>
        <v>182.5</v>
      </c>
      <c r="AI417" s="5">
        <f t="shared" si="132"/>
        <v>0.5</v>
      </c>
      <c r="AJ417" s="5">
        <f t="shared" si="133"/>
        <v>0.45024671052631576</v>
      </c>
      <c r="AK417" s="5">
        <f t="shared" si="134"/>
        <v>0.90049342105263153</v>
      </c>
      <c r="AL417" s="5">
        <f t="shared" si="135"/>
        <v>2.2512335526315788</v>
      </c>
      <c r="AM417" s="5">
        <f t="shared" si="136"/>
        <v>0</v>
      </c>
      <c r="AN417" s="5">
        <f t="shared" si="137"/>
        <v>2.2512335526315788</v>
      </c>
      <c r="AO417" s="1" t="s">
        <v>102</v>
      </c>
    </row>
    <row r="418" spans="1:41" x14ac:dyDescent="0.25">
      <c r="A418" s="1" t="s">
        <v>19</v>
      </c>
      <c r="B418" s="1" t="s">
        <v>37</v>
      </c>
      <c r="C418" s="1" t="s">
        <v>21</v>
      </c>
      <c r="D418" s="1" t="s">
        <v>38</v>
      </c>
      <c r="E418" s="1" t="s">
        <v>96</v>
      </c>
      <c r="F418" s="1" t="s">
        <v>103</v>
      </c>
      <c r="G418" s="1" t="s">
        <v>127</v>
      </c>
      <c r="H418" s="1" t="s">
        <v>555</v>
      </c>
      <c r="I418" s="1" t="s">
        <v>331</v>
      </c>
      <c r="J418" s="1" t="s">
        <v>101</v>
      </c>
      <c r="L418" s="1">
        <v>2142021</v>
      </c>
      <c r="M418" s="1" t="s">
        <v>617</v>
      </c>
      <c r="N418" s="8">
        <f t="shared" si="139"/>
        <v>42842</v>
      </c>
      <c r="O418" s="8">
        <f>DATE(2020,8,14)</f>
        <v>44057</v>
      </c>
      <c r="P418" s="1">
        <v>2509</v>
      </c>
      <c r="Q418" s="1">
        <v>2400</v>
      </c>
      <c r="R418" s="1">
        <f t="shared" si="120"/>
        <v>2400</v>
      </c>
      <c r="S418" s="1">
        <v>2.5</v>
      </c>
      <c r="U418" s="1">
        <f t="shared" si="121"/>
        <v>1216</v>
      </c>
      <c r="V418" s="7">
        <f t="shared" si="122"/>
        <v>1.9736842105263157</v>
      </c>
      <c r="W418" s="7">
        <f t="shared" si="123"/>
        <v>720.3947368421052</v>
      </c>
      <c r="X418" s="7">
        <f t="shared" si="124"/>
        <v>0.90049342105263153</v>
      </c>
      <c r="AA418" s="8">
        <f t="shared" si="125"/>
        <v>44927</v>
      </c>
      <c r="AB418" s="8">
        <f t="shared" si="126"/>
        <v>45291</v>
      </c>
      <c r="AC418" s="1">
        <v>4</v>
      </c>
      <c r="AD418" s="1">
        <f t="shared" si="127"/>
        <v>0</v>
      </c>
      <c r="AE418" s="1">
        <f t="shared" si="128"/>
        <v>0</v>
      </c>
      <c r="AF418" s="1">
        <f t="shared" si="129"/>
        <v>0</v>
      </c>
      <c r="AG418" s="1">
        <f t="shared" si="130"/>
        <v>0</v>
      </c>
      <c r="AH418" s="1">
        <f t="shared" si="131"/>
        <v>182.5</v>
      </c>
      <c r="AI418" s="5">
        <f t="shared" si="132"/>
        <v>0.5</v>
      </c>
      <c r="AJ418" s="5">
        <f t="shared" si="133"/>
        <v>0.45024671052631576</v>
      </c>
      <c r="AK418" s="5">
        <f t="shared" si="134"/>
        <v>0.90049342105263153</v>
      </c>
      <c r="AL418" s="5">
        <f t="shared" si="135"/>
        <v>2.2512335526315788</v>
      </c>
      <c r="AM418" s="5">
        <f t="shared" si="136"/>
        <v>0</v>
      </c>
      <c r="AN418" s="5">
        <f t="shared" si="137"/>
        <v>2.2512335526315788</v>
      </c>
      <c r="AO418" s="1" t="s">
        <v>102</v>
      </c>
    </row>
    <row r="419" spans="1:41" x14ac:dyDescent="0.25">
      <c r="A419" s="1" t="s">
        <v>19</v>
      </c>
      <c r="B419" s="1" t="s">
        <v>37</v>
      </c>
      <c r="C419" s="1" t="s">
        <v>21</v>
      </c>
      <c r="D419" s="1" t="s">
        <v>38</v>
      </c>
      <c r="E419" s="1" t="s">
        <v>96</v>
      </c>
      <c r="F419" s="1" t="s">
        <v>103</v>
      </c>
      <c r="G419" s="1" t="s">
        <v>127</v>
      </c>
      <c r="H419" s="1" t="s">
        <v>562</v>
      </c>
      <c r="I419" s="1" t="s">
        <v>331</v>
      </c>
      <c r="J419" s="1" t="s">
        <v>101</v>
      </c>
      <c r="L419" s="1">
        <v>2142024</v>
      </c>
      <c r="M419" s="1" t="s">
        <v>618</v>
      </c>
      <c r="N419" s="8">
        <f t="shared" si="139"/>
        <v>42842</v>
      </c>
      <c r="O419" s="8">
        <f>DATE(2020,1,17)</f>
        <v>43847</v>
      </c>
      <c r="P419" s="1">
        <v>2032</v>
      </c>
      <c r="Q419" s="1">
        <v>2400</v>
      </c>
      <c r="R419" s="1">
        <f t="shared" si="120"/>
        <v>2400</v>
      </c>
      <c r="S419" s="1">
        <v>2.5</v>
      </c>
      <c r="U419" s="1">
        <f t="shared" si="121"/>
        <v>1006</v>
      </c>
      <c r="V419" s="7">
        <f t="shared" si="122"/>
        <v>2.0198807157057654</v>
      </c>
      <c r="W419" s="7">
        <f t="shared" si="123"/>
        <v>737.25646123260435</v>
      </c>
      <c r="X419" s="7">
        <f t="shared" si="124"/>
        <v>0.92157057654075547</v>
      </c>
      <c r="AA419" s="8">
        <f t="shared" si="125"/>
        <v>44927</v>
      </c>
      <c r="AB419" s="8">
        <f t="shared" si="126"/>
        <v>45291</v>
      </c>
      <c r="AC419" s="1">
        <v>2</v>
      </c>
      <c r="AD419" s="1">
        <f t="shared" si="127"/>
        <v>0</v>
      </c>
      <c r="AE419" s="1">
        <f t="shared" si="128"/>
        <v>0</v>
      </c>
      <c r="AF419" s="1">
        <f t="shared" si="129"/>
        <v>0</v>
      </c>
      <c r="AG419" s="1">
        <f t="shared" si="130"/>
        <v>0</v>
      </c>
      <c r="AH419" s="1">
        <f t="shared" si="131"/>
        <v>182.5</v>
      </c>
      <c r="AI419" s="5">
        <f t="shared" si="132"/>
        <v>0.5</v>
      </c>
      <c r="AJ419" s="5">
        <f t="shared" si="133"/>
        <v>0.46078528827037774</v>
      </c>
      <c r="AK419" s="5">
        <f t="shared" si="134"/>
        <v>0.46078528827037774</v>
      </c>
      <c r="AL419" s="5">
        <f t="shared" si="135"/>
        <v>1.1519632206759443</v>
      </c>
      <c r="AM419" s="5">
        <f t="shared" si="136"/>
        <v>0</v>
      </c>
      <c r="AN419" s="5">
        <f t="shared" si="137"/>
        <v>1.1519632206759443</v>
      </c>
      <c r="AO419" s="1" t="s">
        <v>102</v>
      </c>
    </row>
    <row r="420" spans="1:41" x14ac:dyDescent="0.25">
      <c r="A420" s="1" t="s">
        <v>19</v>
      </c>
      <c r="B420" s="1" t="s">
        <v>37</v>
      </c>
      <c r="C420" s="1" t="s">
        <v>21</v>
      </c>
      <c r="D420" s="1" t="s">
        <v>38</v>
      </c>
      <c r="E420" s="1" t="s">
        <v>96</v>
      </c>
      <c r="F420" s="1" t="s">
        <v>103</v>
      </c>
      <c r="G420" s="1" t="s">
        <v>127</v>
      </c>
      <c r="H420" s="1" t="s">
        <v>518</v>
      </c>
      <c r="I420" s="1" t="s">
        <v>162</v>
      </c>
      <c r="J420" s="1" t="s">
        <v>101</v>
      </c>
      <c r="L420" s="1">
        <v>2142025</v>
      </c>
      <c r="M420" s="1" t="s">
        <v>619</v>
      </c>
      <c r="N420" s="8">
        <f t="shared" si="139"/>
        <v>42842</v>
      </c>
      <c r="O420" s="8">
        <f>DATE(2020,1,17)</f>
        <v>43847</v>
      </c>
      <c r="P420" s="1">
        <v>2246</v>
      </c>
      <c r="Q420" s="1">
        <v>2000</v>
      </c>
      <c r="R420" s="1">
        <f t="shared" si="120"/>
        <v>2000</v>
      </c>
      <c r="S420" s="1">
        <v>1.5</v>
      </c>
      <c r="U420" s="1">
        <f t="shared" si="121"/>
        <v>1006</v>
      </c>
      <c r="V420" s="7">
        <f t="shared" si="122"/>
        <v>1.9880715705765408</v>
      </c>
      <c r="W420" s="7">
        <f t="shared" si="123"/>
        <v>725.64612326043743</v>
      </c>
      <c r="X420" s="7">
        <f t="shared" si="124"/>
        <v>0.90705765407554684</v>
      </c>
      <c r="AA420" s="8">
        <f t="shared" si="125"/>
        <v>44927</v>
      </c>
      <c r="AB420" s="8">
        <f t="shared" si="126"/>
        <v>45291</v>
      </c>
      <c r="AC420" s="1">
        <v>6</v>
      </c>
      <c r="AD420" s="1">
        <f t="shared" si="127"/>
        <v>0</v>
      </c>
      <c r="AE420" s="1">
        <f t="shared" si="128"/>
        <v>0</v>
      </c>
      <c r="AF420" s="1">
        <f t="shared" si="129"/>
        <v>0</v>
      </c>
      <c r="AG420" s="1">
        <f t="shared" si="130"/>
        <v>0</v>
      </c>
      <c r="AH420" s="1">
        <f t="shared" si="131"/>
        <v>182.5</v>
      </c>
      <c r="AI420" s="5">
        <f t="shared" si="132"/>
        <v>0.5</v>
      </c>
      <c r="AJ420" s="5">
        <f t="shared" si="133"/>
        <v>0.45352882703777342</v>
      </c>
      <c r="AK420" s="5">
        <f t="shared" si="134"/>
        <v>1.3605864811133204</v>
      </c>
      <c r="AL420" s="5">
        <f t="shared" si="135"/>
        <v>2.0408797216699806</v>
      </c>
      <c r="AM420" s="5">
        <f t="shared" si="136"/>
        <v>0</v>
      </c>
      <c r="AN420" s="5">
        <f t="shared" si="137"/>
        <v>2.0408797216699806</v>
      </c>
      <c r="AO420" s="1" t="s">
        <v>102</v>
      </c>
    </row>
    <row r="421" spans="1:41" x14ac:dyDescent="0.25">
      <c r="A421" s="1" t="s">
        <v>19</v>
      </c>
      <c r="B421" s="1" t="s">
        <v>37</v>
      </c>
      <c r="C421" s="1" t="s">
        <v>21</v>
      </c>
      <c r="D421" s="1" t="s">
        <v>38</v>
      </c>
      <c r="E421" s="1" t="s">
        <v>96</v>
      </c>
      <c r="F421" s="1" t="s">
        <v>103</v>
      </c>
      <c r="G421" s="1" t="s">
        <v>127</v>
      </c>
      <c r="H421" s="1" t="s">
        <v>528</v>
      </c>
      <c r="I421" s="1" t="s">
        <v>162</v>
      </c>
      <c r="J421" s="1" t="s">
        <v>101</v>
      </c>
      <c r="L421" s="1">
        <v>2142026</v>
      </c>
      <c r="M421" s="1" t="s">
        <v>611</v>
      </c>
      <c r="N421" s="8">
        <f t="shared" si="139"/>
        <v>42842</v>
      </c>
      <c r="O421" s="8">
        <f>DATE(2020,1,17)</f>
        <v>43847</v>
      </c>
      <c r="P421" s="1">
        <v>2324</v>
      </c>
      <c r="Q421" s="1">
        <v>2000</v>
      </c>
      <c r="R421" s="1">
        <f t="shared" si="120"/>
        <v>2000</v>
      </c>
      <c r="S421" s="1">
        <v>1</v>
      </c>
      <c r="U421" s="1">
        <f t="shared" si="121"/>
        <v>1006</v>
      </c>
      <c r="V421" s="7">
        <f t="shared" si="122"/>
        <v>1.9880715705765408</v>
      </c>
      <c r="W421" s="7">
        <f t="shared" si="123"/>
        <v>725.64612326043743</v>
      </c>
      <c r="X421" s="7">
        <f t="shared" si="124"/>
        <v>0.90705765407554684</v>
      </c>
      <c r="AA421" s="8">
        <f t="shared" si="125"/>
        <v>44927</v>
      </c>
      <c r="AB421" s="8">
        <f t="shared" si="126"/>
        <v>45291</v>
      </c>
      <c r="AC421" s="1">
        <v>8</v>
      </c>
      <c r="AD421" s="1">
        <f t="shared" si="127"/>
        <v>0</v>
      </c>
      <c r="AE421" s="1">
        <f t="shared" si="128"/>
        <v>0</v>
      </c>
      <c r="AF421" s="1">
        <f t="shared" si="129"/>
        <v>0</v>
      </c>
      <c r="AG421" s="1">
        <f t="shared" si="130"/>
        <v>0</v>
      </c>
      <c r="AH421" s="1">
        <f t="shared" si="131"/>
        <v>182.5</v>
      </c>
      <c r="AI421" s="5">
        <f t="shared" si="132"/>
        <v>0.5</v>
      </c>
      <c r="AJ421" s="5">
        <f t="shared" si="133"/>
        <v>0.45352882703777342</v>
      </c>
      <c r="AK421" s="5">
        <f t="shared" si="134"/>
        <v>1.8141153081510937</v>
      </c>
      <c r="AL421" s="5">
        <f t="shared" si="135"/>
        <v>1.8141153081510937</v>
      </c>
      <c r="AM421" s="5">
        <f t="shared" si="136"/>
        <v>0</v>
      </c>
      <c r="AN421" s="5">
        <f t="shared" si="137"/>
        <v>1.8141153081510937</v>
      </c>
      <c r="AO421" s="1" t="s">
        <v>102</v>
      </c>
    </row>
    <row r="422" spans="1:41" x14ac:dyDescent="0.25">
      <c r="A422" s="1" t="s">
        <v>19</v>
      </c>
      <c r="B422" s="1" t="s">
        <v>37</v>
      </c>
      <c r="C422" s="1" t="s">
        <v>21</v>
      </c>
      <c r="D422" s="1" t="s">
        <v>38</v>
      </c>
      <c r="E422" s="1" t="s">
        <v>172</v>
      </c>
      <c r="F422" s="1" t="s">
        <v>103</v>
      </c>
      <c r="G422" s="1" t="s">
        <v>185</v>
      </c>
      <c r="H422" s="1" t="s">
        <v>620</v>
      </c>
      <c r="I422" s="1" t="s">
        <v>162</v>
      </c>
      <c r="J422" s="1" t="s">
        <v>101</v>
      </c>
      <c r="L422" s="1">
        <v>2154658</v>
      </c>
      <c r="M422" s="1" t="s">
        <v>621</v>
      </c>
      <c r="N422" s="8">
        <f>DATE(2017,4,24)</f>
        <v>42849</v>
      </c>
      <c r="O422" s="8">
        <f>DATE(2018,8,25)</f>
        <v>43337</v>
      </c>
      <c r="P422" s="1">
        <v>440</v>
      </c>
      <c r="Q422" s="1">
        <v>360</v>
      </c>
      <c r="R422" s="1">
        <f t="shared" si="120"/>
        <v>360</v>
      </c>
      <c r="S422" s="1">
        <v>1.5</v>
      </c>
      <c r="U422" s="1">
        <f t="shared" si="121"/>
        <v>489</v>
      </c>
      <c r="V422" s="7">
        <f t="shared" si="122"/>
        <v>0.73619631901840488</v>
      </c>
      <c r="W422" s="7">
        <f t="shared" si="123"/>
        <v>268.71165644171776</v>
      </c>
      <c r="X422" s="7">
        <f t="shared" si="124"/>
        <v>0.33588957055214719</v>
      </c>
      <c r="AA422" s="8">
        <f t="shared" si="125"/>
        <v>44927</v>
      </c>
      <c r="AB422" s="8">
        <f t="shared" si="126"/>
        <v>45291</v>
      </c>
      <c r="AC422" s="1">
        <v>3</v>
      </c>
      <c r="AD422" s="1">
        <f t="shared" si="127"/>
        <v>0</v>
      </c>
      <c r="AE422" s="1">
        <f t="shared" si="128"/>
        <v>0</v>
      </c>
      <c r="AF422" s="1">
        <f t="shared" si="129"/>
        <v>0</v>
      </c>
      <c r="AG422" s="1">
        <f t="shared" si="130"/>
        <v>0</v>
      </c>
      <c r="AH422" s="1">
        <f t="shared" si="131"/>
        <v>182.5</v>
      </c>
      <c r="AI422" s="5">
        <f t="shared" si="132"/>
        <v>0.5</v>
      </c>
      <c r="AJ422" s="5">
        <f t="shared" si="133"/>
        <v>0.16794478527607359</v>
      </c>
      <c r="AK422" s="5">
        <f t="shared" si="134"/>
        <v>0</v>
      </c>
      <c r="AL422" s="5">
        <f t="shared" si="135"/>
        <v>0</v>
      </c>
      <c r="AM422" s="5">
        <f t="shared" si="136"/>
        <v>0</v>
      </c>
      <c r="AN422" s="5">
        <f t="shared" si="137"/>
        <v>0</v>
      </c>
      <c r="AO422" s="1" t="s">
        <v>122</v>
      </c>
    </row>
    <row r="423" spans="1:41" x14ac:dyDescent="0.25">
      <c r="A423" s="1" t="s">
        <v>19</v>
      </c>
      <c r="B423" s="1" t="s">
        <v>37</v>
      </c>
      <c r="C423" s="1" t="s">
        <v>21</v>
      </c>
      <c r="D423" s="1" t="s">
        <v>38</v>
      </c>
      <c r="E423" s="1" t="s">
        <v>172</v>
      </c>
      <c r="F423" s="1" t="s">
        <v>534</v>
      </c>
      <c r="G423" s="1" t="s">
        <v>185</v>
      </c>
      <c r="H423" s="1" t="s">
        <v>622</v>
      </c>
      <c r="I423" s="1" t="s">
        <v>623</v>
      </c>
      <c r="J423" s="1" t="s">
        <v>101</v>
      </c>
      <c r="L423" s="1">
        <v>2154665</v>
      </c>
      <c r="M423" s="1" t="s">
        <v>624</v>
      </c>
      <c r="N423" s="8">
        <f>DATE(2017,4,24)</f>
        <v>42849</v>
      </c>
      <c r="O423" s="8">
        <f>DATE(2018,8,25)</f>
        <v>43337</v>
      </c>
      <c r="P423" s="1">
        <v>420</v>
      </c>
      <c r="Q423" s="1">
        <v>360</v>
      </c>
      <c r="R423" s="1">
        <f t="shared" si="120"/>
        <v>360</v>
      </c>
      <c r="S423" s="1">
        <v>2</v>
      </c>
      <c r="U423" s="1">
        <f t="shared" si="121"/>
        <v>489</v>
      </c>
      <c r="V423" s="7">
        <f t="shared" si="122"/>
        <v>0.73619631901840488</v>
      </c>
      <c r="W423" s="7">
        <f t="shared" si="123"/>
        <v>268.71165644171776</v>
      </c>
      <c r="X423" s="7">
        <f t="shared" si="124"/>
        <v>0.33588957055214719</v>
      </c>
      <c r="AA423" s="8">
        <f t="shared" si="125"/>
        <v>44927</v>
      </c>
      <c r="AB423" s="8">
        <f t="shared" si="126"/>
        <v>45291</v>
      </c>
      <c r="AC423" s="1">
        <v>2</v>
      </c>
      <c r="AD423" s="1">
        <f t="shared" si="127"/>
        <v>0</v>
      </c>
      <c r="AE423" s="1">
        <f t="shared" si="128"/>
        <v>0</v>
      </c>
      <c r="AF423" s="1">
        <f t="shared" si="129"/>
        <v>0</v>
      </c>
      <c r="AG423" s="1">
        <f t="shared" si="130"/>
        <v>0</v>
      </c>
      <c r="AH423" s="1">
        <f t="shared" si="131"/>
        <v>182.5</v>
      </c>
      <c r="AI423" s="5">
        <f t="shared" si="132"/>
        <v>0.5</v>
      </c>
      <c r="AJ423" s="5">
        <f t="shared" si="133"/>
        <v>0.16794478527607359</v>
      </c>
      <c r="AK423" s="5">
        <f t="shared" si="134"/>
        <v>0</v>
      </c>
      <c r="AL423" s="5">
        <f t="shared" si="135"/>
        <v>0</v>
      </c>
      <c r="AM423" s="5">
        <f t="shared" si="136"/>
        <v>0</v>
      </c>
      <c r="AN423" s="5">
        <f t="shared" si="137"/>
        <v>0</v>
      </c>
      <c r="AO423" s="1" t="s">
        <v>111</v>
      </c>
    </row>
    <row r="424" spans="1:41" x14ac:dyDescent="0.25">
      <c r="A424" s="1" t="s">
        <v>19</v>
      </c>
      <c r="B424" s="1" t="s">
        <v>37</v>
      </c>
      <c r="C424" s="1" t="s">
        <v>21</v>
      </c>
      <c r="D424" s="1" t="s">
        <v>38</v>
      </c>
      <c r="E424" s="1" t="s">
        <v>96</v>
      </c>
      <c r="F424" s="1" t="s">
        <v>103</v>
      </c>
      <c r="G424" s="1" t="s">
        <v>127</v>
      </c>
      <c r="H424" s="1" t="s">
        <v>520</v>
      </c>
      <c r="I424" s="1" t="s">
        <v>210</v>
      </c>
      <c r="J424" s="1" t="s">
        <v>101</v>
      </c>
      <c r="L424" s="1">
        <v>2456377</v>
      </c>
      <c r="M424" s="1" t="s">
        <v>625</v>
      </c>
      <c r="N424" s="8">
        <f t="shared" ref="N424:N432" si="140">DATE(2017,10,11)</f>
        <v>43019</v>
      </c>
      <c r="O424" s="8">
        <f>DATE(2020,12,23)</f>
        <v>44188</v>
      </c>
      <c r="P424" s="1">
        <v>2406</v>
      </c>
      <c r="Q424" s="1">
        <v>2400</v>
      </c>
      <c r="R424" s="1">
        <f t="shared" si="120"/>
        <v>2400</v>
      </c>
      <c r="S424" s="1">
        <v>2.5</v>
      </c>
      <c r="U424" s="1">
        <f t="shared" si="121"/>
        <v>1170</v>
      </c>
      <c r="V424" s="7">
        <f t="shared" si="122"/>
        <v>2.0512820512820511</v>
      </c>
      <c r="W424" s="7">
        <f t="shared" si="123"/>
        <v>748.71794871794862</v>
      </c>
      <c r="X424" s="7">
        <f t="shared" si="124"/>
        <v>0.93589743589743579</v>
      </c>
      <c r="AA424" s="8">
        <f t="shared" si="125"/>
        <v>44927</v>
      </c>
      <c r="AB424" s="8">
        <f t="shared" si="126"/>
        <v>45291</v>
      </c>
      <c r="AC424" s="1">
        <v>5</v>
      </c>
      <c r="AD424" s="1">
        <f t="shared" si="127"/>
        <v>0</v>
      </c>
      <c r="AE424" s="1">
        <f t="shared" si="128"/>
        <v>0</v>
      </c>
      <c r="AF424" s="1">
        <f t="shared" si="129"/>
        <v>0</v>
      </c>
      <c r="AG424" s="1">
        <f t="shared" si="130"/>
        <v>0</v>
      </c>
      <c r="AH424" s="1">
        <f t="shared" si="131"/>
        <v>182.5</v>
      </c>
      <c r="AI424" s="5">
        <f t="shared" si="132"/>
        <v>0.5</v>
      </c>
      <c r="AJ424" s="5">
        <f t="shared" si="133"/>
        <v>0.4679487179487179</v>
      </c>
      <c r="AK424" s="5">
        <f t="shared" si="134"/>
        <v>1.1698717948717947</v>
      </c>
      <c r="AL424" s="5">
        <f t="shared" si="135"/>
        <v>2.9246794871794868</v>
      </c>
      <c r="AM424" s="5">
        <f t="shared" si="136"/>
        <v>0</v>
      </c>
      <c r="AN424" s="5">
        <f t="shared" si="137"/>
        <v>2.9246794871794868</v>
      </c>
      <c r="AO424" s="1" t="s">
        <v>102</v>
      </c>
    </row>
    <row r="425" spans="1:41" x14ac:dyDescent="0.25">
      <c r="A425" s="1" t="s">
        <v>19</v>
      </c>
      <c r="B425" s="1" t="s">
        <v>37</v>
      </c>
      <c r="C425" s="1" t="s">
        <v>21</v>
      </c>
      <c r="D425" s="1" t="s">
        <v>38</v>
      </c>
      <c r="E425" s="1" t="s">
        <v>96</v>
      </c>
      <c r="F425" s="1" t="s">
        <v>103</v>
      </c>
      <c r="G425" s="1" t="s">
        <v>127</v>
      </c>
      <c r="H425" s="1" t="s">
        <v>525</v>
      </c>
      <c r="I425" s="1" t="s">
        <v>331</v>
      </c>
      <c r="J425" s="1" t="s">
        <v>101</v>
      </c>
      <c r="L425" s="1">
        <v>2456382</v>
      </c>
      <c r="M425" s="1" t="s">
        <v>626</v>
      </c>
      <c r="N425" s="8">
        <f t="shared" si="140"/>
        <v>43019</v>
      </c>
      <c r="O425" s="8">
        <f>DATE(2020,8,15)</f>
        <v>44058</v>
      </c>
      <c r="P425" s="1">
        <v>2416</v>
      </c>
      <c r="Q425" s="1">
        <v>2400</v>
      </c>
      <c r="R425" s="1">
        <f t="shared" si="120"/>
        <v>2400</v>
      </c>
      <c r="S425" s="1">
        <v>2.5</v>
      </c>
      <c r="U425" s="1">
        <f t="shared" si="121"/>
        <v>1040</v>
      </c>
      <c r="V425" s="7">
        <f t="shared" si="122"/>
        <v>2.3076923076923075</v>
      </c>
      <c r="W425" s="7">
        <f t="shared" si="123"/>
        <v>842.30769230769226</v>
      </c>
      <c r="X425" s="7">
        <f t="shared" si="124"/>
        <v>1.0528846153846154</v>
      </c>
      <c r="AA425" s="8">
        <f t="shared" si="125"/>
        <v>44927</v>
      </c>
      <c r="AB425" s="8">
        <f t="shared" si="126"/>
        <v>45291</v>
      </c>
      <c r="AC425" s="1">
        <v>1</v>
      </c>
      <c r="AD425" s="1">
        <f t="shared" si="127"/>
        <v>0</v>
      </c>
      <c r="AE425" s="1">
        <f t="shared" si="128"/>
        <v>0</v>
      </c>
      <c r="AF425" s="1">
        <f t="shared" si="129"/>
        <v>0</v>
      </c>
      <c r="AG425" s="1">
        <f t="shared" si="130"/>
        <v>0</v>
      </c>
      <c r="AH425" s="1">
        <f t="shared" si="131"/>
        <v>182.5</v>
      </c>
      <c r="AI425" s="5">
        <f t="shared" si="132"/>
        <v>0.5</v>
      </c>
      <c r="AJ425" s="5">
        <f t="shared" si="133"/>
        <v>0.52644230769230771</v>
      </c>
      <c r="AK425" s="5">
        <f t="shared" si="134"/>
        <v>0.26322115384615385</v>
      </c>
      <c r="AL425" s="5">
        <f t="shared" si="135"/>
        <v>0.65805288461538458</v>
      </c>
      <c r="AM425" s="5">
        <f t="shared" si="136"/>
        <v>0</v>
      </c>
      <c r="AN425" s="5">
        <f t="shared" si="137"/>
        <v>0.65805288461538458</v>
      </c>
      <c r="AO425" s="1" t="s">
        <v>102</v>
      </c>
    </row>
    <row r="426" spans="1:41" x14ac:dyDescent="0.25">
      <c r="A426" s="1" t="s">
        <v>19</v>
      </c>
      <c r="B426" s="1" t="s">
        <v>37</v>
      </c>
      <c r="C426" s="1" t="s">
        <v>21</v>
      </c>
      <c r="D426" s="1" t="s">
        <v>38</v>
      </c>
      <c r="E426" s="1" t="s">
        <v>96</v>
      </c>
      <c r="F426" s="1" t="s">
        <v>103</v>
      </c>
      <c r="G426" s="1" t="s">
        <v>127</v>
      </c>
      <c r="H426" s="1" t="s">
        <v>555</v>
      </c>
      <c r="I426" s="1" t="s">
        <v>331</v>
      </c>
      <c r="J426" s="1" t="s">
        <v>101</v>
      </c>
      <c r="L426" s="1">
        <v>2456388</v>
      </c>
      <c r="M426" s="1" t="s">
        <v>627</v>
      </c>
      <c r="N426" s="8">
        <f t="shared" si="140"/>
        <v>43019</v>
      </c>
      <c r="O426" s="8">
        <f>DATE(2020,12,23)</f>
        <v>44188</v>
      </c>
      <c r="P426" s="1">
        <v>2509</v>
      </c>
      <c r="Q426" s="1">
        <v>2400</v>
      </c>
      <c r="R426" s="1">
        <f t="shared" si="120"/>
        <v>2400</v>
      </c>
      <c r="S426" s="1">
        <v>2.5</v>
      </c>
      <c r="U426" s="1">
        <f t="shared" si="121"/>
        <v>1170</v>
      </c>
      <c r="V426" s="7">
        <f t="shared" si="122"/>
        <v>2.0512820512820511</v>
      </c>
      <c r="W426" s="7">
        <f t="shared" si="123"/>
        <v>748.71794871794862</v>
      </c>
      <c r="X426" s="7">
        <f t="shared" si="124"/>
        <v>0.93589743589743579</v>
      </c>
      <c r="AA426" s="8">
        <f t="shared" si="125"/>
        <v>44927</v>
      </c>
      <c r="AB426" s="8">
        <f t="shared" si="126"/>
        <v>45291</v>
      </c>
      <c r="AC426" s="1">
        <v>5</v>
      </c>
      <c r="AD426" s="1">
        <f t="shared" si="127"/>
        <v>0</v>
      </c>
      <c r="AE426" s="1">
        <f t="shared" si="128"/>
        <v>0</v>
      </c>
      <c r="AF426" s="1">
        <f t="shared" si="129"/>
        <v>0</v>
      </c>
      <c r="AG426" s="1">
        <f t="shared" si="130"/>
        <v>0</v>
      </c>
      <c r="AH426" s="1">
        <f t="shared" si="131"/>
        <v>182.5</v>
      </c>
      <c r="AI426" s="5">
        <f t="shared" si="132"/>
        <v>0.5</v>
      </c>
      <c r="AJ426" s="5">
        <f t="shared" si="133"/>
        <v>0.4679487179487179</v>
      </c>
      <c r="AK426" s="5">
        <f t="shared" si="134"/>
        <v>1.1698717948717947</v>
      </c>
      <c r="AL426" s="5">
        <f t="shared" si="135"/>
        <v>2.9246794871794868</v>
      </c>
      <c r="AM426" s="5">
        <f t="shared" si="136"/>
        <v>0</v>
      </c>
      <c r="AN426" s="5">
        <f t="shared" si="137"/>
        <v>2.9246794871794868</v>
      </c>
      <c r="AO426" s="1" t="s">
        <v>102</v>
      </c>
    </row>
    <row r="427" spans="1:41" x14ac:dyDescent="0.25">
      <c r="A427" s="1" t="s">
        <v>19</v>
      </c>
      <c r="B427" s="1" t="s">
        <v>37</v>
      </c>
      <c r="C427" s="1" t="s">
        <v>21</v>
      </c>
      <c r="D427" s="1" t="s">
        <v>38</v>
      </c>
      <c r="E427" s="1" t="s">
        <v>96</v>
      </c>
      <c r="F427" s="1" t="s">
        <v>103</v>
      </c>
      <c r="G427" s="1" t="s">
        <v>98</v>
      </c>
      <c r="H427" s="1" t="s">
        <v>542</v>
      </c>
      <c r="I427" s="1" t="s">
        <v>210</v>
      </c>
      <c r="J427" s="1" t="s">
        <v>101</v>
      </c>
      <c r="L427" s="1">
        <v>2456393</v>
      </c>
      <c r="M427" s="1" t="s">
        <v>628</v>
      </c>
      <c r="N427" s="8">
        <f t="shared" si="140"/>
        <v>43019</v>
      </c>
      <c r="O427" s="8">
        <f>DATE(2022,2,13)</f>
        <v>44605</v>
      </c>
      <c r="P427" s="1">
        <v>4430</v>
      </c>
      <c r="Q427" s="1">
        <v>3600</v>
      </c>
      <c r="R427" s="1">
        <f t="shared" si="120"/>
        <v>3600</v>
      </c>
      <c r="S427" s="1">
        <v>2.5</v>
      </c>
      <c r="U427" s="1">
        <f t="shared" si="121"/>
        <v>1587</v>
      </c>
      <c r="V427" s="7">
        <f t="shared" si="122"/>
        <v>2.2684310018903591</v>
      </c>
      <c r="W427" s="7">
        <f t="shared" si="123"/>
        <v>827.97731568998108</v>
      </c>
      <c r="X427" s="7">
        <f t="shared" si="124"/>
        <v>1.0349716446124764</v>
      </c>
      <c r="AA427" s="8">
        <f t="shared" si="125"/>
        <v>44927</v>
      </c>
      <c r="AB427" s="8">
        <f t="shared" si="126"/>
        <v>45291</v>
      </c>
      <c r="AC427" s="1">
        <v>7</v>
      </c>
      <c r="AD427" s="1">
        <f t="shared" si="127"/>
        <v>0</v>
      </c>
      <c r="AE427" s="1">
        <f t="shared" si="128"/>
        <v>0</v>
      </c>
      <c r="AF427" s="1">
        <f t="shared" si="129"/>
        <v>0</v>
      </c>
      <c r="AG427" s="1">
        <f t="shared" si="130"/>
        <v>0</v>
      </c>
      <c r="AH427" s="1">
        <f t="shared" si="131"/>
        <v>182.5</v>
      </c>
      <c r="AI427" s="5">
        <f t="shared" si="132"/>
        <v>0.5</v>
      </c>
      <c r="AJ427" s="5">
        <f t="shared" si="133"/>
        <v>0.51748582230623819</v>
      </c>
      <c r="AK427" s="5">
        <f t="shared" si="134"/>
        <v>1.8112003780718338</v>
      </c>
      <c r="AL427" s="5">
        <f t="shared" si="135"/>
        <v>4.5280009451795848</v>
      </c>
      <c r="AM427" s="5">
        <f t="shared" si="136"/>
        <v>0</v>
      </c>
      <c r="AN427" s="5">
        <f t="shared" si="137"/>
        <v>4.5280009451795848</v>
      </c>
      <c r="AO427" s="1" t="s">
        <v>102</v>
      </c>
    </row>
    <row r="428" spans="1:41" x14ac:dyDescent="0.25">
      <c r="A428" s="1" t="s">
        <v>19</v>
      </c>
      <c r="B428" s="1" t="s">
        <v>37</v>
      </c>
      <c r="C428" s="1" t="s">
        <v>21</v>
      </c>
      <c r="D428" s="1" t="s">
        <v>38</v>
      </c>
      <c r="E428" s="1" t="s">
        <v>96</v>
      </c>
      <c r="F428" s="1" t="s">
        <v>103</v>
      </c>
      <c r="G428" s="1" t="s">
        <v>98</v>
      </c>
      <c r="H428" s="1" t="s">
        <v>523</v>
      </c>
      <c r="I428" s="1" t="s">
        <v>100</v>
      </c>
      <c r="J428" s="1" t="s">
        <v>101</v>
      </c>
      <c r="L428" s="1">
        <v>2456396</v>
      </c>
      <c r="M428" s="1" t="s">
        <v>629</v>
      </c>
      <c r="N428" s="8">
        <f t="shared" si="140"/>
        <v>43019</v>
      </c>
      <c r="O428" s="8">
        <f>DATE(2020,8,15)</f>
        <v>44058</v>
      </c>
      <c r="P428" s="1">
        <v>2587</v>
      </c>
      <c r="Q428" s="1">
        <v>2400</v>
      </c>
      <c r="R428" s="1">
        <f t="shared" si="120"/>
        <v>2400</v>
      </c>
      <c r="S428" s="1">
        <v>1</v>
      </c>
      <c r="U428" s="1">
        <f t="shared" si="121"/>
        <v>1040</v>
      </c>
      <c r="V428" s="7">
        <f t="shared" si="122"/>
        <v>2.3076923076923075</v>
      </c>
      <c r="W428" s="7">
        <f t="shared" si="123"/>
        <v>842.30769230769226</v>
      </c>
      <c r="X428" s="7">
        <f t="shared" si="124"/>
        <v>1.0528846153846154</v>
      </c>
      <c r="AA428" s="8">
        <f t="shared" si="125"/>
        <v>44927</v>
      </c>
      <c r="AB428" s="8">
        <f t="shared" si="126"/>
        <v>45291</v>
      </c>
      <c r="AC428" s="1">
        <v>5</v>
      </c>
      <c r="AD428" s="1">
        <f t="shared" si="127"/>
        <v>0</v>
      </c>
      <c r="AE428" s="1">
        <f t="shared" si="128"/>
        <v>0</v>
      </c>
      <c r="AF428" s="1">
        <f t="shared" si="129"/>
        <v>0</v>
      </c>
      <c r="AG428" s="1">
        <f t="shared" si="130"/>
        <v>0</v>
      </c>
      <c r="AH428" s="1">
        <f t="shared" si="131"/>
        <v>182.5</v>
      </c>
      <c r="AI428" s="5">
        <f t="shared" si="132"/>
        <v>0.5</v>
      </c>
      <c r="AJ428" s="5">
        <f t="shared" si="133"/>
        <v>0.52644230769230771</v>
      </c>
      <c r="AK428" s="5">
        <f t="shared" si="134"/>
        <v>1.3161057692307692</v>
      </c>
      <c r="AL428" s="5">
        <f t="shared" si="135"/>
        <v>1.3161057692307692</v>
      </c>
      <c r="AM428" s="5">
        <f t="shared" si="136"/>
        <v>0</v>
      </c>
      <c r="AN428" s="5">
        <f t="shared" si="137"/>
        <v>1.3161057692307692</v>
      </c>
      <c r="AO428" s="1" t="s">
        <v>102</v>
      </c>
    </row>
    <row r="429" spans="1:41" x14ac:dyDescent="0.25">
      <c r="A429" s="1" t="s">
        <v>19</v>
      </c>
      <c r="B429" s="1" t="s">
        <v>37</v>
      </c>
      <c r="C429" s="1" t="s">
        <v>21</v>
      </c>
      <c r="D429" s="1" t="s">
        <v>38</v>
      </c>
      <c r="E429" s="1" t="s">
        <v>96</v>
      </c>
      <c r="F429" s="1" t="s">
        <v>103</v>
      </c>
      <c r="G429" s="1" t="s">
        <v>98</v>
      </c>
      <c r="H429" s="1" t="s">
        <v>566</v>
      </c>
      <c r="I429" s="1" t="s">
        <v>336</v>
      </c>
      <c r="J429" s="1" t="s">
        <v>101</v>
      </c>
      <c r="L429" s="1">
        <v>2456398</v>
      </c>
      <c r="M429" s="1" t="s">
        <v>630</v>
      </c>
      <c r="N429" s="8">
        <f t="shared" si="140"/>
        <v>43019</v>
      </c>
      <c r="O429" s="8">
        <f>DATE(2020,8,15)</f>
        <v>44058</v>
      </c>
      <c r="P429" s="1">
        <v>2600</v>
      </c>
      <c r="Q429" s="1">
        <v>2400</v>
      </c>
      <c r="R429" s="1">
        <f t="shared" si="120"/>
        <v>2400</v>
      </c>
      <c r="S429" s="1">
        <v>1</v>
      </c>
      <c r="U429" s="1">
        <f t="shared" si="121"/>
        <v>1040</v>
      </c>
      <c r="V429" s="7">
        <f t="shared" si="122"/>
        <v>2.3076923076923075</v>
      </c>
      <c r="W429" s="7">
        <f t="shared" si="123"/>
        <v>842.30769230769226</v>
      </c>
      <c r="X429" s="7">
        <f t="shared" si="124"/>
        <v>1.0528846153846154</v>
      </c>
      <c r="AA429" s="8">
        <f t="shared" si="125"/>
        <v>44927</v>
      </c>
      <c r="AB429" s="8">
        <f t="shared" si="126"/>
        <v>45291</v>
      </c>
      <c r="AC429" s="1">
        <v>13</v>
      </c>
      <c r="AD429" s="1">
        <f t="shared" si="127"/>
        <v>0</v>
      </c>
      <c r="AE429" s="1">
        <f t="shared" si="128"/>
        <v>0</v>
      </c>
      <c r="AF429" s="1">
        <f t="shared" si="129"/>
        <v>0</v>
      </c>
      <c r="AG429" s="1">
        <f t="shared" si="130"/>
        <v>0</v>
      </c>
      <c r="AH429" s="1">
        <f t="shared" si="131"/>
        <v>182.5</v>
      </c>
      <c r="AI429" s="5">
        <f t="shared" si="132"/>
        <v>0.5</v>
      </c>
      <c r="AJ429" s="5">
        <f t="shared" si="133"/>
        <v>0.52644230769230771</v>
      </c>
      <c r="AK429" s="5">
        <f t="shared" si="134"/>
        <v>3.421875</v>
      </c>
      <c r="AL429" s="5">
        <f t="shared" si="135"/>
        <v>3.421875</v>
      </c>
      <c r="AM429" s="5">
        <f t="shared" si="136"/>
        <v>0</v>
      </c>
      <c r="AN429" s="5">
        <f t="shared" si="137"/>
        <v>3.421875</v>
      </c>
      <c r="AO429" s="1" t="s">
        <v>102</v>
      </c>
    </row>
    <row r="430" spans="1:41" x14ac:dyDescent="0.25">
      <c r="A430" s="1" t="s">
        <v>19</v>
      </c>
      <c r="B430" s="1" t="s">
        <v>37</v>
      </c>
      <c r="C430" s="1" t="s">
        <v>21</v>
      </c>
      <c r="D430" s="1" t="s">
        <v>38</v>
      </c>
      <c r="E430" s="1" t="s">
        <v>96</v>
      </c>
      <c r="F430" s="1" t="s">
        <v>103</v>
      </c>
      <c r="G430" s="1" t="s">
        <v>114</v>
      </c>
      <c r="H430" s="1" t="s">
        <v>569</v>
      </c>
      <c r="I430" s="1" t="s">
        <v>331</v>
      </c>
      <c r="J430" s="1" t="s">
        <v>101</v>
      </c>
      <c r="K430" s="1" t="s">
        <v>175</v>
      </c>
      <c r="L430" s="1">
        <v>2456435</v>
      </c>
      <c r="M430" s="1" t="s">
        <v>631</v>
      </c>
      <c r="N430" s="8">
        <f t="shared" si="140"/>
        <v>43019</v>
      </c>
      <c r="O430" s="8">
        <f>DATE(2019,8,17)</f>
        <v>43694</v>
      </c>
      <c r="P430" s="1">
        <v>1294</v>
      </c>
      <c r="Q430" s="1">
        <v>1200</v>
      </c>
      <c r="R430" s="1">
        <f t="shared" si="120"/>
        <v>1200</v>
      </c>
      <c r="S430" s="1">
        <v>2.5</v>
      </c>
      <c r="U430" s="1">
        <f t="shared" si="121"/>
        <v>676</v>
      </c>
      <c r="V430" s="7">
        <f t="shared" si="122"/>
        <v>1.7751479289940828</v>
      </c>
      <c r="W430" s="7">
        <f t="shared" si="123"/>
        <v>647.92899408284018</v>
      </c>
      <c r="X430" s="7">
        <f t="shared" si="124"/>
        <v>0.80991124260355019</v>
      </c>
      <c r="AA430" s="8">
        <f t="shared" si="125"/>
        <v>44927</v>
      </c>
      <c r="AB430" s="8">
        <f t="shared" si="126"/>
        <v>45291</v>
      </c>
      <c r="AC430" s="1">
        <v>0</v>
      </c>
      <c r="AD430" s="1">
        <f t="shared" si="127"/>
        <v>0</v>
      </c>
      <c r="AE430" s="1">
        <f t="shared" si="128"/>
        <v>0</v>
      </c>
      <c r="AF430" s="1">
        <f t="shared" si="129"/>
        <v>0</v>
      </c>
      <c r="AG430" s="1">
        <f t="shared" si="130"/>
        <v>0</v>
      </c>
      <c r="AH430" s="1">
        <f t="shared" si="131"/>
        <v>182.5</v>
      </c>
      <c r="AI430" s="5">
        <f t="shared" si="132"/>
        <v>0.5</v>
      </c>
      <c r="AJ430" s="5">
        <f t="shared" si="133"/>
        <v>0.40495562130177509</v>
      </c>
      <c r="AK430" s="5">
        <f t="shared" si="134"/>
        <v>0</v>
      </c>
      <c r="AL430" s="5">
        <f t="shared" si="135"/>
        <v>0</v>
      </c>
      <c r="AM430" s="5">
        <f t="shared" si="136"/>
        <v>0</v>
      </c>
      <c r="AN430" s="5">
        <f t="shared" si="137"/>
        <v>0</v>
      </c>
      <c r="AO430" s="1" t="s">
        <v>102</v>
      </c>
    </row>
    <row r="431" spans="1:41" x14ac:dyDescent="0.25">
      <c r="A431" s="1" t="s">
        <v>19</v>
      </c>
      <c r="B431" s="1" t="s">
        <v>37</v>
      </c>
      <c r="C431" s="1" t="s">
        <v>21</v>
      </c>
      <c r="D431" s="1" t="s">
        <v>38</v>
      </c>
      <c r="E431" s="1" t="s">
        <v>96</v>
      </c>
      <c r="F431" s="1" t="s">
        <v>103</v>
      </c>
      <c r="G431" s="1" t="s">
        <v>114</v>
      </c>
      <c r="H431" s="1" t="s">
        <v>590</v>
      </c>
      <c r="I431" s="1" t="s">
        <v>210</v>
      </c>
      <c r="J431" s="1" t="s">
        <v>101</v>
      </c>
      <c r="K431" s="1" t="s">
        <v>175</v>
      </c>
      <c r="L431" s="1">
        <v>2456437</v>
      </c>
      <c r="M431" s="1" t="s">
        <v>632</v>
      </c>
      <c r="N431" s="8">
        <f t="shared" si="140"/>
        <v>43019</v>
      </c>
      <c r="O431" s="8">
        <f>DATE(2019,8,17)</f>
        <v>43694</v>
      </c>
      <c r="P431" s="1">
        <v>1703</v>
      </c>
      <c r="Q431" s="1">
        <v>1200</v>
      </c>
      <c r="R431" s="1">
        <f t="shared" si="120"/>
        <v>1200</v>
      </c>
      <c r="S431" s="1">
        <v>2.5</v>
      </c>
      <c r="U431" s="1">
        <f t="shared" si="121"/>
        <v>676</v>
      </c>
      <c r="V431" s="7">
        <f t="shared" si="122"/>
        <v>1.7751479289940828</v>
      </c>
      <c r="W431" s="7">
        <f t="shared" si="123"/>
        <v>647.92899408284018</v>
      </c>
      <c r="X431" s="7">
        <f t="shared" si="124"/>
        <v>0.80991124260355019</v>
      </c>
      <c r="AA431" s="8">
        <f t="shared" si="125"/>
        <v>44927</v>
      </c>
      <c r="AB431" s="8">
        <f t="shared" si="126"/>
        <v>45291</v>
      </c>
      <c r="AC431" s="1">
        <v>9</v>
      </c>
      <c r="AD431" s="1">
        <f t="shared" si="127"/>
        <v>0</v>
      </c>
      <c r="AE431" s="1">
        <f t="shared" si="128"/>
        <v>0</v>
      </c>
      <c r="AF431" s="1">
        <f t="shared" si="129"/>
        <v>0</v>
      </c>
      <c r="AG431" s="1">
        <f t="shared" si="130"/>
        <v>0</v>
      </c>
      <c r="AH431" s="1">
        <f t="shared" si="131"/>
        <v>182.5</v>
      </c>
      <c r="AI431" s="5">
        <f t="shared" si="132"/>
        <v>0.5</v>
      </c>
      <c r="AJ431" s="5">
        <f t="shared" si="133"/>
        <v>0.40495562130177509</v>
      </c>
      <c r="AK431" s="5">
        <f t="shared" si="134"/>
        <v>0</v>
      </c>
      <c r="AL431" s="5">
        <f t="shared" si="135"/>
        <v>0</v>
      </c>
      <c r="AM431" s="5">
        <f t="shared" si="136"/>
        <v>0</v>
      </c>
      <c r="AN431" s="5">
        <f t="shared" si="137"/>
        <v>0</v>
      </c>
      <c r="AO431" s="1" t="s">
        <v>102</v>
      </c>
    </row>
    <row r="432" spans="1:41" x14ac:dyDescent="0.25">
      <c r="A432" s="1" t="s">
        <v>19</v>
      </c>
      <c r="B432" s="1" t="s">
        <v>37</v>
      </c>
      <c r="C432" s="1" t="s">
        <v>21</v>
      </c>
      <c r="D432" s="1" t="s">
        <v>38</v>
      </c>
      <c r="E432" s="1" t="s">
        <v>96</v>
      </c>
      <c r="F432" s="1" t="s">
        <v>103</v>
      </c>
      <c r="G432" s="1" t="s">
        <v>114</v>
      </c>
      <c r="H432" s="1" t="s">
        <v>592</v>
      </c>
      <c r="I432" s="1" t="s">
        <v>210</v>
      </c>
      <c r="J432" s="1" t="s">
        <v>101</v>
      </c>
      <c r="K432" s="1" t="s">
        <v>175</v>
      </c>
      <c r="L432" s="1">
        <v>2456440</v>
      </c>
      <c r="M432" s="1" t="s">
        <v>633</v>
      </c>
      <c r="N432" s="8">
        <f t="shared" si="140"/>
        <v>43019</v>
      </c>
      <c r="O432" s="8">
        <f>DATE(2019,8,17)</f>
        <v>43694</v>
      </c>
      <c r="P432" s="1">
        <v>1707</v>
      </c>
      <c r="Q432" s="1">
        <v>1200</v>
      </c>
      <c r="R432" s="1">
        <f t="shared" si="120"/>
        <v>1200</v>
      </c>
      <c r="S432" s="1">
        <v>2.5</v>
      </c>
      <c r="U432" s="1">
        <f t="shared" si="121"/>
        <v>676</v>
      </c>
      <c r="V432" s="7">
        <f t="shared" si="122"/>
        <v>1.7751479289940828</v>
      </c>
      <c r="W432" s="7">
        <f t="shared" si="123"/>
        <v>647.92899408284018</v>
      </c>
      <c r="X432" s="7">
        <f t="shared" si="124"/>
        <v>0.80991124260355019</v>
      </c>
      <c r="AA432" s="8">
        <f t="shared" si="125"/>
        <v>44927</v>
      </c>
      <c r="AB432" s="8">
        <f t="shared" si="126"/>
        <v>45291</v>
      </c>
      <c r="AC432" s="1">
        <v>4</v>
      </c>
      <c r="AD432" s="1">
        <f t="shared" si="127"/>
        <v>0</v>
      </c>
      <c r="AE432" s="1">
        <f t="shared" si="128"/>
        <v>0</v>
      </c>
      <c r="AF432" s="1">
        <f t="shared" si="129"/>
        <v>0</v>
      </c>
      <c r="AG432" s="1">
        <f t="shared" si="130"/>
        <v>0</v>
      </c>
      <c r="AH432" s="1">
        <f t="shared" si="131"/>
        <v>182.5</v>
      </c>
      <c r="AI432" s="5">
        <f t="shared" si="132"/>
        <v>0.5</v>
      </c>
      <c r="AJ432" s="5">
        <f t="shared" si="133"/>
        <v>0.40495562130177509</v>
      </c>
      <c r="AK432" s="5">
        <f t="shared" si="134"/>
        <v>0</v>
      </c>
      <c r="AL432" s="5">
        <f t="shared" si="135"/>
        <v>0</v>
      </c>
      <c r="AM432" s="5">
        <f t="shared" si="136"/>
        <v>0</v>
      </c>
      <c r="AN432" s="5">
        <f t="shared" si="137"/>
        <v>0</v>
      </c>
      <c r="AO432" s="1" t="s">
        <v>102</v>
      </c>
    </row>
    <row r="433" spans="1:41" x14ac:dyDescent="0.25">
      <c r="A433" s="1" t="s">
        <v>19</v>
      </c>
      <c r="B433" s="1" t="s">
        <v>37</v>
      </c>
      <c r="C433" s="1" t="s">
        <v>21</v>
      </c>
      <c r="D433" s="1" t="s">
        <v>38</v>
      </c>
      <c r="E433" s="1" t="s">
        <v>96</v>
      </c>
      <c r="F433" s="1" t="s">
        <v>103</v>
      </c>
      <c r="G433" s="1" t="s">
        <v>634</v>
      </c>
      <c r="H433" s="1" t="s">
        <v>635</v>
      </c>
      <c r="I433" s="1" t="s">
        <v>174</v>
      </c>
      <c r="J433" s="1" t="s">
        <v>101</v>
      </c>
      <c r="L433" s="1">
        <v>2480767</v>
      </c>
      <c r="M433" s="1" t="s">
        <v>636</v>
      </c>
      <c r="N433" s="8">
        <f>DATE(2018,3,15)</f>
        <v>43174</v>
      </c>
      <c r="O433" s="8">
        <f>DATE(2020,3,10)</f>
        <v>43900</v>
      </c>
      <c r="P433" s="1">
        <v>1305</v>
      </c>
      <c r="Q433" s="1">
        <v>360</v>
      </c>
      <c r="R433" s="1">
        <f t="shared" si="120"/>
        <v>360</v>
      </c>
      <c r="S433" s="1">
        <v>3.75</v>
      </c>
      <c r="U433" s="1">
        <f t="shared" si="121"/>
        <v>727</v>
      </c>
      <c r="V433" s="7">
        <f t="shared" si="122"/>
        <v>0.49518569463548828</v>
      </c>
      <c r="W433" s="7">
        <f t="shared" si="123"/>
        <v>180.74277854195321</v>
      </c>
      <c r="X433" s="7">
        <f t="shared" si="124"/>
        <v>0.22592847317744152</v>
      </c>
      <c r="AA433" s="8">
        <f t="shared" si="125"/>
        <v>44927</v>
      </c>
      <c r="AB433" s="8">
        <f t="shared" si="126"/>
        <v>45291</v>
      </c>
      <c r="AC433" s="1">
        <v>1</v>
      </c>
      <c r="AD433" s="1">
        <f t="shared" si="127"/>
        <v>0</v>
      </c>
      <c r="AE433" s="1">
        <f t="shared" si="128"/>
        <v>0</v>
      </c>
      <c r="AF433" s="1">
        <f t="shared" si="129"/>
        <v>0</v>
      </c>
      <c r="AG433" s="1">
        <f t="shared" si="130"/>
        <v>0</v>
      </c>
      <c r="AH433" s="1">
        <f t="shared" si="131"/>
        <v>182.5</v>
      </c>
      <c r="AI433" s="5">
        <f t="shared" si="132"/>
        <v>0.5</v>
      </c>
      <c r="AJ433" s="5">
        <f t="shared" si="133"/>
        <v>0.11296423658872076</v>
      </c>
      <c r="AK433" s="5">
        <f t="shared" si="134"/>
        <v>5.6482118294360381E-2</v>
      </c>
      <c r="AL433" s="5">
        <f t="shared" si="135"/>
        <v>0.21180794360385144</v>
      </c>
      <c r="AM433" s="5">
        <f t="shared" si="136"/>
        <v>0</v>
      </c>
      <c r="AN433" s="5">
        <f t="shared" si="137"/>
        <v>0.21180794360385144</v>
      </c>
      <c r="AO433" s="1" t="s">
        <v>102</v>
      </c>
    </row>
    <row r="434" spans="1:41" x14ac:dyDescent="0.25">
      <c r="A434" s="1" t="s">
        <v>19</v>
      </c>
      <c r="B434" s="1" t="s">
        <v>37</v>
      </c>
      <c r="C434" s="1" t="s">
        <v>21</v>
      </c>
      <c r="D434" s="1" t="s">
        <v>38</v>
      </c>
      <c r="E434" s="1" t="s">
        <v>96</v>
      </c>
      <c r="F434" s="1" t="s">
        <v>103</v>
      </c>
      <c r="G434" s="1" t="s">
        <v>114</v>
      </c>
      <c r="H434" s="1" t="s">
        <v>574</v>
      </c>
      <c r="I434" s="1" t="s">
        <v>331</v>
      </c>
      <c r="J434" s="1" t="s">
        <v>101</v>
      </c>
      <c r="K434" s="1" t="s">
        <v>116</v>
      </c>
      <c r="L434" s="1">
        <v>2480263</v>
      </c>
      <c r="M434" s="1" t="s">
        <v>637</v>
      </c>
      <c r="N434" s="8">
        <f t="shared" ref="N434:N448" si="141">DATE(2018,3,19)</f>
        <v>43178</v>
      </c>
      <c r="O434" s="8">
        <f>DATE(2021,12,23)</f>
        <v>44553</v>
      </c>
      <c r="P434" s="1">
        <v>3792</v>
      </c>
      <c r="Q434" s="1">
        <v>1200</v>
      </c>
      <c r="R434" s="1">
        <f t="shared" si="120"/>
        <v>3200</v>
      </c>
      <c r="S434" s="1">
        <v>2.5</v>
      </c>
      <c r="U434" s="1">
        <f t="shared" si="121"/>
        <v>1376</v>
      </c>
      <c r="V434" s="7">
        <f t="shared" si="122"/>
        <v>2.3255813953488373</v>
      </c>
      <c r="W434" s="7">
        <f t="shared" si="123"/>
        <v>848.83720930232562</v>
      </c>
      <c r="X434" s="7">
        <f t="shared" si="124"/>
        <v>1.0610465116279071</v>
      </c>
      <c r="AA434" s="8">
        <f t="shared" si="125"/>
        <v>44927</v>
      </c>
      <c r="AB434" s="8">
        <f t="shared" si="126"/>
        <v>45291</v>
      </c>
      <c r="AC434" s="1">
        <v>2</v>
      </c>
      <c r="AD434" s="1">
        <f t="shared" si="127"/>
        <v>0</v>
      </c>
      <c r="AE434" s="1">
        <f t="shared" si="128"/>
        <v>0</v>
      </c>
      <c r="AF434" s="1">
        <f t="shared" si="129"/>
        <v>0</v>
      </c>
      <c r="AG434" s="1">
        <f t="shared" si="130"/>
        <v>0</v>
      </c>
      <c r="AH434" s="1">
        <f t="shared" si="131"/>
        <v>182.5</v>
      </c>
      <c r="AI434" s="5">
        <f t="shared" si="132"/>
        <v>0.5</v>
      </c>
      <c r="AJ434" s="5">
        <f t="shared" si="133"/>
        <v>0.53052325581395354</v>
      </c>
      <c r="AK434" s="5">
        <f t="shared" si="134"/>
        <v>0.53052325581395354</v>
      </c>
      <c r="AL434" s="5">
        <f t="shared" si="135"/>
        <v>1.3263081395348839</v>
      </c>
      <c r="AM434" s="5">
        <f t="shared" si="136"/>
        <v>0</v>
      </c>
      <c r="AN434" s="5">
        <f t="shared" si="137"/>
        <v>1.3263081395348839</v>
      </c>
      <c r="AO434" s="1" t="s">
        <v>102</v>
      </c>
    </row>
    <row r="435" spans="1:41" x14ac:dyDescent="0.25">
      <c r="A435" s="1" t="s">
        <v>19</v>
      </c>
      <c r="B435" s="1" t="s">
        <v>37</v>
      </c>
      <c r="C435" s="1" t="s">
        <v>21</v>
      </c>
      <c r="D435" s="1" t="s">
        <v>38</v>
      </c>
      <c r="E435" s="1" t="s">
        <v>96</v>
      </c>
      <c r="F435" s="1" t="s">
        <v>103</v>
      </c>
      <c r="G435" s="1" t="s">
        <v>114</v>
      </c>
      <c r="H435" s="1" t="s">
        <v>569</v>
      </c>
      <c r="I435" s="1" t="s">
        <v>331</v>
      </c>
      <c r="J435" s="1" t="s">
        <v>101</v>
      </c>
      <c r="K435" s="1" t="s">
        <v>116</v>
      </c>
      <c r="L435" s="1">
        <v>2480265</v>
      </c>
      <c r="M435" s="1" t="s">
        <v>638</v>
      </c>
      <c r="N435" s="8">
        <f t="shared" si="141"/>
        <v>43178</v>
      </c>
      <c r="O435" s="8">
        <f>DATE(2021,12,23)</f>
        <v>44553</v>
      </c>
      <c r="P435" s="1">
        <v>3792</v>
      </c>
      <c r="Q435" s="1">
        <v>1200</v>
      </c>
      <c r="R435" s="1">
        <f t="shared" si="120"/>
        <v>3200</v>
      </c>
      <c r="S435" s="1">
        <v>2.5</v>
      </c>
      <c r="U435" s="1">
        <f t="shared" si="121"/>
        <v>1376</v>
      </c>
      <c r="V435" s="7">
        <f t="shared" si="122"/>
        <v>2.3255813953488373</v>
      </c>
      <c r="W435" s="7">
        <f t="shared" si="123"/>
        <v>848.83720930232562</v>
      </c>
      <c r="X435" s="7">
        <f t="shared" si="124"/>
        <v>1.0610465116279071</v>
      </c>
      <c r="AA435" s="8">
        <f t="shared" si="125"/>
        <v>44927</v>
      </c>
      <c r="AB435" s="8">
        <f t="shared" si="126"/>
        <v>45291</v>
      </c>
      <c r="AC435" s="1">
        <v>4</v>
      </c>
      <c r="AD435" s="1">
        <f t="shared" si="127"/>
        <v>0</v>
      </c>
      <c r="AE435" s="1">
        <f t="shared" si="128"/>
        <v>0</v>
      </c>
      <c r="AF435" s="1">
        <f t="shared" si="129"/>
        <v>0</v>
      </c>
      <c r="AG435" s="1">
        <f t="shared" si="130"/>
        <v>0</v>
      </c>
      <c r="AH435" s="1">
        <f t="shared" si="131"/>
        <v>182.5</v>
      </c>
      <c r="AI435" s="5">
        <f t="shared" si="132"/>
        <v>0.5</v>
      </c>
      <c r="AJ435" s="5">
        <f t="shared" si="133"/>
        <v>0.53052325581395354</v>
      </c>
      <c r="AK435" s="5">
        <f t="shared" si="134"/>
        <v>1.0610465116279071</v>
      </c>
      <c r="AL435" s="5">
        <f t="shared" si="135"/>
        <v>2.6526162790697678</v>
      </c>
      <c r="AM435" s="5">
        <f t="shared" si="136"/>
        <v>0</v>
      </c>
      <c r="AN435" s="5">
        <f t="shared" si="137"/>
        <v>2.6526162790697678</v>
      </c>
      <c r="AO435" s="1" t="s">
        <v>102</v>
      </c>
    </row>
    <row r="436" spans="1:41" x14ac:dyDescent="0.25">
      <c r="A436" s="1" t="s">
        <v>19</v>
      </c>
      <c r="B436" s="1" t="s">
        <v>37</v>
      </c>
      <c r="C436" s="1" t="s">
        <v>21</v>
      </c>
      <c r="D436" s="1" t="s">
        <v>38</v>
      </c>
      <c r="E436" s="1" t="s">
        <v>96</v>
      </c>
      <c r="F436" s="1" t="s">
        <v>103</v>
      </c>
      <c r="G436" s="1" t="s">
        <v>114</v>
      </c>
      <c r="H436" s="1" t="s">
        <v>577</v>
      </c>
      <c r="I436" s="1" t="s">
        <v>336</v>
      </c>
      <c r="J436" s="1" t="s">
        <v>101</v>
      </c>
      <c r="K436" s="1" t="s">
        <v>116</v>
      </c>
      <c r="L436" s="1">
        <v>2480272</v>
      </c>
      <c r="M436" s="1" t="s">
        <v>639</v>
      </c>
      <c r="N436" s="8">
        <f t="shared" si="141"/>
        <v>43178</v>
      </c>
      <c r="O436" s="8">
        <f>DATE(2020,12,23)</f>
        <v>44188</v>
      </c>
      <c r="P436" s="1">
        <v>3306</v>
      </c>
      <c r="Q436" s="1">
        <v>800</v>
      </c>
      <c r="R436" s="1">
        <f t="shared" si="120"/>
        <v>3000</v>
      </c>
      <c r="S436" s="1">
        <v>1.5</v>
      </c>
      <c r="U436" s="1">
        <f t="shared" si="121"/>
        <v>1011</v>
      </c>
      <c r="V436" s="7">
        <f t="shared" si="122"/>
        <v>2.9673590504451037</v>
      </c>
      <c r="W436" s="7">
        <f t="shared" si="123"/>
        <v>1083.0860534124629</v>
      </c>
      <c r="X436" s="7">
        <f t="shared" si="124"/>
        <v>1.3538575667655786</v>
      </c>
      <c r="AA436" s="8">
        <f t="shared" si="125"/>
        <v>44927</v>
      </c>
      <c r="AB436" s="8">
        <f t="shared" si="126"/>
        <v>45291</v>
      </c>
      <c r="AC436" s="1">
        <v>1</v>
      </c>
      <c r="AD436" s="1">
        <f t="shared" si="127"/>
        <v>0</v>
      </c>
      <c r="AE436" s="1">
        <f t="shared" si="128"/>
        <v>0</v>
      </c>
      <c r="AF436" s="1">
        <f t="shared" si="129"/>
        <v>0</v>
      </c>
      <c r="AG436" s="1">
        <f t="shared" si="130"/>
        <v>0</v>
      </c>
      <c r="AH436" s="1">
        <f t="shared" si="131"/>
        <v>182.5</v>
      </c>
      <c r="AI436" s="5">
        <f t="shared" si="132"/>
        <v>0.5</v>
      </c>
      <c r="AJ436" s="5">
        <f t="shared" si="133"/>
        <v>0.67692878338278928</v>
      </c>
      <c r="AK436" s="5">
        <f t="shared" si="134"/>
        <v>0.33846439169139464</v>
      </c>
      <c r="AL436" s="5">
        <f t="shared" si="135"/>
        <v>0.50769658753709201</v>
      </c>
      <c r="AM436" s="5">
        <f t="shared" si="136"/>
        <v>0</v>
      </c>
      <c r="AN436" s="5">
        <f t="shared" si="137"/>
        <v>0.50769658753709201</v>
      </c>
      <c r="AO436" s="1" t="s">
        <v>102</v>
      </c>
    </row>
    <row r="437" spans="1:41" x14ac:dyDescent="0.25">
      <c r="A437" s="1" t="s">
        <v>19</v>
      </c>
      <c r="B437" s="1" t="s">
        <v>37</v>
      </c>
      <c r="C437" s="1" t="s">
        <v>21</v>
      </c>
      <c r="D437" s="1" t="s">
        <v>38</v>
      </c>
      <c r="E437" s="1" t="s">
        <v>96</v>
      </c>
      <c r="F437" s="1" t="s">
        <v>103</v>
      </c>
      <c r="G437" s="1" t="s">
        <v>114</v>
      </c>
      <c r="H437" s="1" t="s">
        <v>247</v>
      </c>
      <c r="I437" s="1" t="s">
        <v>162</v>
      </c>
      <c r="J437" s="1" t="s">
        <v>101</v>
      </c>
      <c r="K437" s="1" t="s">
        <v>116</v>
      </c>
      <c r="L437" s="1">
        <v>2480273</v>
      </c>
      <c r="M437" s="1" t="s">
        <v>640</v>
      </c>
      <c r="N437" s="8">
        <f t="shared" si="141"/>
        <v>43178</v>
      </c>
      <c r="O437" s="8">
        <f>DATE(2020,12,23)</f>
        <v>44188</v>
      </c>
      <c r="P437" s="1">
        <v>3740</v>
      </c>
      <c r="Q437" s="1">
        <v>1200</v>
      </c>
      <c r="R437" s="1">
        <f t="shared" si="120"/>
        <v>3200</v>
      </c>
      <c r="S437" s="1">
        <v>1.5</v>
      </c>
      <c r="U437" s="1">
        <f t="shared" si="121"/>
        <v>1011</v>
      </c>
      <c r="V437" s="7">
        <f t="shared" si="122"/>
        <v>3.1651829871414443</v>
      </c>
      <c r="W437" s="7">
        <f t="shared" si="123"/>
        <v>1155.2917903066273</v>
      </c>
      <c r="X437" s="7">
        <f t="shared" si="124"/>
        <v>1.4441147378832841</v>
      </c>
      <c r="AA437" s="8">
        <f t="shared" si="125"/>
        <v>44927</v>
      </c>
      <c r="AB437" s="8">
        <f t="shared" si="126"/>
        <v>45291</v>
      </c>
      <c r="AC437" s="1">
        <v>2</v>
      </c>
      <c r="AD437" s="1">
        <f t="shared" si="127"/>
        <v>0</v>
      </c>
      <c r="AE437" s="1">
        <f t="shared" si="128"/>
        <v>0</v>
      </c>
      <c r="AF437" s="1">
        <f t="shared" si="129"/>
        <v>0</v>
      </c>
      <c r="AG437" s="1">
        <f t="shared" si="130"/>
        <v>0</v>
      </c>
      <c r="AH437" s="1">
        <f t="shared" si="131"/>
        <v>182.5</v>
      </c>
      <c r="AI437" s="5">
        <f t="shared" si="132"/>
        <v>0.5</v>
      </c>
      <c r="AJ437" s="5">
        <f t="shared" si="133"/>
        <v>0.72205736894164207</v>
      </c>
      <c r="AK437" s="5">
        <f t="shared" si="134"/>
        <v>0.72205736894164207</v>
      </c>
      <c r="AL437" s="5">
        <f t="shared" si="135"/>
        <v>1.0830860534124631</v>
      </c>
      <c r="AM437" s="5">
        <f t="shared" si="136"/>
        <v>0</v>
      </c>
      <c r="AN437" s="5">
        <f t="shared" si="137"/>
        <v>1.0830860534124631</v>
      </c>
      <c r="AO437" s="1" t="s">
        <v>102</v>
      </c>
    </row>
    <row r="438" spans="1:41" x14ac:dyDescent="0.25">
      <c r="A438" s="1" t="s">
        <v>19</v>
      </c>
      <c r="B438" s="1" t="s">
        <v>37</v>
      </c>
      <c r="C438" s="1" t="s">
        <v>21</v>
      </c>
      <c r="D438" s="1" t="s">
        <v>38</v>
      </c>
      <c r="E438" s="1" t="s">
        <v>96</v>
      </c>
      <c r="F438" s="1" t="s">
        <v>103</v>
      </c>
      <c r="G438" s="1" t="s">
        <v>114</v>
      </c>
      <c r="H438" s="1" t="s">
        <v>574</v>
      </c>
      <c r="I438" s="1" t="s">
        <v>331</v>
      </c>
      <c r="J438" s="1" t="s">
        <v>101</v>
      </c>
      <c r="K438" s="1" t="s">
        <v>175</v>
      </c>
      <c r="L438" s="1">
        <v>2480291</v>
      </c>
      <c r="M438" s="1" t="s">
        <v>641</v>
      </c>
      <c r="N438" s="8">
        <f t="shared" si="141"/>
        <v>43178</v>
      </c>
      <c r="O438" s="8">
        <f>DATE(2019,12,23)</f>
        <v>43822</v>
      </c>
      <c r="P438" s="1">
        <v>1258</v>
      </c>
      <c r="Q438" s="1">
        <v>1200</v>
      </c>
      <c r="R438" s="1">
        <f t="shared" si="120"/>
        <v>1200</v>
      </c>
      <c r="S438" s="1">
        <v>2.5</v>
      </c>
      <c r="U438" s="1">
        <f t="shared" si="121"/>
        <v>645</v>
      </c>
      <c r="V438" s="7">
        <f t="shared" si="122"/>
        <v>1.8604651162790697</v>
      </c>
      <c r="W438" s="7">
        <f t="shared" si="123"/>
        <v>679.06976744186045</v>
      </c>
      <c r="X438" s="7">
        <f t="shared" si="124"/>
        <v>0.84883720930232553</v>
      </c>
      <c r="AA438" s="8">
        <f t="shared" si="125"/>
        <v>44927</v>
      </c>
      <c r="AB438" s="8">
        <f t="shared" si="126"/>
        <v>45291</v>
      </c>
      <c r="AC438" s="1">
        <v>0</v>
      </c>
      <c r="AD438" s="1">
        <f t="shared" si="127"/>
        <v>0</v>
      </c>
      <c r="AE438" s="1">
        <f t="shared" si="128"/>
        <v>0</v>
      </c>
      <c r="AF438" s="1">
        <f t="shared" si="129"/>
        <v>0</v>
      </c>
      <c r="AG438" s="1">
        <f t="shared" si="130"/>
        <v>0</v>
      </c>
      <c r="AH438" s="1">
        <f t="shared" si="131"/>
        <v>182.5</v>
      </c>
      <c r="AI438" s="5">
        <f t="shared" si="132"/>
        <v>0.5</v>
      </c>
      <c r="AJ438" s="5">
        <f t="shared" si="133"/>
        <v>0.42441860465116277</v>
      </c>
      <c r="AK438" s="5">
        <f t="shared" si="134"/>
        <v>0</v>
      </c>
      <c r="AL438" s="5">
        <f t="shared" si="135"/>
        <v>0</v>
      </c>
      <c r="AM438" s="5">
        <f t="shared" si="136"/>
        <v>0</v>
      </c>
      <c r="AN438" s="5">
        <f t="shared" si="137"/>
        <v>0</v>
      </c>
      <c r="AO438" s="1" t="s">
        <v>102</v>
      </c>
    </row>
    <row r="439" spans="1:41" x14ac:dyDescent="0.25">
      <c r="A439" s="1" t="s">
        <v>19</v>
      </c>
      <c r="B439" s="1" t="s">
        <v>37</v>
      </c>
      <c r="C439" s="1" t="s">
        <v>21</v>
      </c>
      <c r="D439" s="1" t="s">
        <v>38</v>
      </c>
      <c r="E439" s="1" t="s">
        <v>96</v>
      </c>
      <c r="F439" s="1" t="s">
        <v>103</v>
      </c>
      <c r="G439" s="1" t="s">
        <v>114</v>
      </c>
      <c r="H439" s="1" t="s">
        <v>590</v>
      </c>
      <c r="I439" s="1" t="s">
        <v>210</v>
      </c>
      <c r="J439" s="1" t="s">
        <v>101</v>
      </c>
      <c r="K439" s="1" t="s">
        <v>175</v>
      </c>
      <c r="L439" s="1">
        <v>2480304</v>
      </c>
      <c r="M439" s="1" t="s">
        <v>642</v>
      </c>
      <c r="N439" s="8">
        <f t="shared" si="141"/>
        <v>43178</v>
      </c>
      <c r="O439" s="8">
        <f>DATE(2019,12,23)</f>
        <v>43822</v>
      </c>
      <c r="P439" s="1">
        <v>1703</v>
      </c>
      <c r="Q439" s="1">
        <v>1200</v>
      </c>
      <c r="R439" s="1">
        <f t="shared" si="120"/>
        <v>1200</v>
      </c>
      <c r="S439" s="1">
        <v>2.5</v>
      </c>
      <c r="U439" s="1">
        <f t="shared" si="121"/>
        <v>645</v>
      </c>
      <c r="V439" s="7">
        <f t="shared" si="122"/>
        <v>1.8604651162790697</v>
      </c>
      <c r="W439" s="7">
        <f t="shared" si="123"/>
        <v>679.06976744186045</v>
      </c>
      <c r="X439" s="7">
        <f t="shared" si="124"/>
        <v>0.84883720930232553</v>
      </c>
      <c r="AA439" s="8">
        <f t="shared" si="125"/>
        <v>44927</v>
      </c>
      <c r="AB439" s="8">
        <f t="shared" si="126"/>
        <v>45291</v>
      </c>
      <c r="AC439" s="1">
        <v>0</v>
      </c>
      <c r="AD439" s="1">
        <f t="shared" si="127"/>
        <v>0</v>
      </c>
      <c r="AE439" s="1">
        <f t="shared" si="128"/>
        <v>0</v>
      </c>
      <c r="AF439" s="1">
        <f t="shared" si="129"/>
        <v>0</v>
      </c>
      <c r="AG439" s="1">
        <f t="shared" si="130"/>
        <v>0</v>
      </c>
      <c r="AH439" s="1">
        <f t="shared" si="131"/>
        <v>182.5</v>
      </c>
      <c r="AI439" s="5">
        <f t="shared" si="132"/>
        <v>0.5</v>
      </c>
      <c r="AJ439" s="5">
        <f t="shared" si="133"/>
        <v>0.42441860465116277</v>
      </c>
      <c r="AK439" s="5">
        <f t="shared" si="134"/>
        <v>0</v>
      </c>
      <c r="AL439" s="5">
        <f t="shared" si="135"/>
        <v>0</v>
      </c>
      <c r="AM439" s="5">
        <f t="shared" si="136"/>
        <v>0</v>
      </c>
      <c r="AN439" s="5">
        <f t="shared" si="137"/>
        <v>0</v>
      </c>
      <c r="AO439" s="1" t="s">
        <v>102</v>
      </c>
    </row>
    <row r="440" spans="1:41" x14ac:dyDescent="0.25">
      <c r="A440" s="1" t="s">
        <v>19</v>
      </c>
      <c r="B440" s="1" t="s">
        <v>37</v>
      </c>
      <c r="C440" s="1" t="s">
        <v>21</v>
      </c>
      <c r="D440" s="1" t="s">
        <v>38</v>
      </c>
      <c r="E440" s="1" t="s">
        <v>96</v>
      </c>
      <c r="F440" s="1" t="s">
        <v>103</v>
      </c>
      <c r="G440" s="1" t="s">
        <v>98</v>
      </c>
      <c r="H440" s="1" t="s">
        <v>542</v>
      </c>
      <c r="I440" s="1" t="s">
        <v>210</v>
      </c>
      <c r="J440" s="1" t="s">
        <v>101</v>
      </c>
      <c r="L440" s="1">
        <v>2481078</v>
      </c>
      <c r="M440" s="1" t="s">
        <v>643</v>
      </c>
      <c r="N440" s="8">
        <f t="shared" si="141"/>
        <v>43178</v>
      </c>
      <c r="O440" s="8">
        <f>DATE(2022,12,23)</f>
        <v>44918</v>
      </c>
      <c r="P440" s="1">
        <v>4430</v>
      </c>
      <c r="Q440" s="1">
        <v>3600</v>
      </c>
      <c r="R440" s="1">
        <f t="shared" si="120"/>
        <v>3600</v>
      </c>
      <c r="S440" s="1">
        <v>2.5</v>
      </c>
      <c r="U440" s="1">
        <f t="shared" si="121"/>
        <v>1741</v>
      </c>
      <c r="V440" s="7">
        <f t="shared" si="122"/>
        <v>2.0677771395749569</v>
      </c>
      <c r="W440" s="7">
        <f t="shared" si="123"/>
        <v>754.73865594485926</v>
      </c>
      <c r="X440" s="7">
        <f t="shared" si="124"/>
        <v>0.94342331993107409</v>
      </c>
      <c r="AA440" s="8">
        <f t="shared" si="125"/>
        <v>44927</v>
      </c>
      <c r="AB440" s="8">
        <f t="shared" si="126"/>
        <v>45291</v>
      </c>
      <c r="AC440" s="1">
        <v>13</v>
      </c>
      <c r="AD440" s="1">
        <f t="shared" si="127"/>
        <v>0</v>
      </c>
      <c r="AE440" s="1">
        <f t="shared" si="128"/>
        <v>0</v>
      </c>
      <c r="AF440" s="1">
        <f t="shared" si="129"/>
        <v>0</v>
      </c>
      <c r="AG440" s="1">
        <f t="shared" si="130"/>
        <v>0</v>
      </c>
      <c r="AH440" s="1">
        <f t="shared" si="131"/>
        <v>182.5</v>
      </c>
      <c r="AI440" s="5">
        <f t="shared" si="132"/>
        <v>0.5</v>
      </c>
      <c r="AJ440" s="5">
        <f t="shared" si="133"/>
        <v>0.47171165996553704</v>
      </c>
      <c r="AK440" s="5">
        <f t="shared" si="134"/>
        <v>3.0661257897759908</v>
      </c>
      <c r="AL440" s="5">
        <f t="shared" si="135"/>
        <v>7.6653144744399775</v>
      </c>
      <c r="AM440" s="5">
        <f t="shared" si="136"/>
        <v>0</v>
      </c>
      <c r="AN440" s="5">
        <f t="shared" si="137"/>
        <v>7.6653144744399775</v>
      </c>
      <c r="AO440" s="1" t="s">
        <v>102</v>
      </c>
    </row>
    <row r="441" spans="1:41" x14ac:dyDescent="0.25">
      <c r="A441" s="1" t="s">
        <v>19</v>
      </c>
      <c r="B441" s="1" t="s">
        <v>37</v>
      </c>
      <c r="C441" s="1" t="s">
        <v>21</v>
      </c>
      <c r="D441" s="1" t="s">
        <v>38</v>
      </c>
      <c r="E441" s="1" t="s">
        <v>96</v>
      </c>
      <c r="F441" s="1" t="s">
        <v>103</v>
      </c>
      <c r="G441" s="1" t="s">
        <v>98</v>
      </c>
      <c r="H441" s="1" t="s">
        <v>537</v>
      </c>
      <c r="I441" s="1" t="s">
        <v>162</v>
      </c>
      <c r="J441" s="1" t="s">
        <v>101</v>
      </c>
      <c r="L441" s="1">
        <v>2481079</v>
      </c>
      <c r="M441" s="1" t="s">
        <v>644</v>
      </c>
      <c r="N441" s="8">
        <f t="shared" si="141"/>
        <v>43178</v>
      </c>
      <c r="O441" s="8">
        <f>DATE(2022,12,23)</f>
        <v>44918</v>
      </c>
      <c r="P441" s="1">
        <v>4280</v>
      </c>
      <c r="Q441" s="1">
        <v>3200</v>
      </c>
      <c r="R441" s="1">
        <f t="shared" si="120"/>
        <v>3200</v>
      </c>
      <c r="S441" s="1">
        <v>2.5</v>
      </c>
      <c r="U441" s="1">
        <f t="shared" si="121"/>
        <v>1741</v>
      </c>
      <c r="V441" s="7">
        <f t="shared" si="122"/>
        <v>1.8380241240666284</v>
      </c>
      <c r="W441" s="7">
        <f t="shared" si="123"/>
        <v>670.87880528431936</v>
      </c>
      <c r="X441" s="7">
        <f t="shared" si="124"/>
        <v>0.83859850660539914</v>
      </c>
      <c r="AA441" s="8">
        <f t="shared" si="125"/>
        <v>44927</v>
      </c>
      <c r="AB441" s="8">
        <f t="shared" si="126"/>
        <v>45291</v>
      </c>
      <c r="AC441" s="1">
        <v>20</v>
      </c>
      <c r="AD441" s="1">
        <f t="shared" si="127"/>
        <v>0</v>
      </c>
      <c r="AE441" s="1">
        <f t="shared" si="128"/>
        <v>0</v>
      </c>
      <c r="AF441" s="1">
        <f t="shared" si="129"/>
        <v>0</v>
      </c>
      <c r="AG441" s="1">
        <f t="shared" si="130"/>
        <v>0</v>
      </c>
      <c r="AH441" s="1">
        <f t="shared" si="131"/>
        <v>182.5</v>
      </c>
      <c r="AI441" s="5">
        <f t="shared" si="132"/>
        <v>0.5</v>
      </c>
      <c r="AJ441" s="5">
        <f t="shared" si="133"/>
        <v>0.41929925330269957</v>
      </c>
      <c r="AK441" s="5">
        <f t="shared" si="134"/>
        <v>4.1929925330269953</v>
      </c>
      <c r="AL441" s="5">
        <f t="shared" si="135"/>
        <v>10.482481332567488</v>
      </c>
      <c r="AM441" s="5">
        <f t="shared" si="136"/>
        <v>0</v>
      </c>
      <c r="AN441" s="5">
        <f t="shared" si="137"/>
        <v>10.482481332567488</v>
      </c>
      <c r="AO441" s="1" t="s">
        <v>102</v>
      </c>
    </row>
    <row r="442" spans="1:41" x14ac:dyDescent="0.25">
      <c r="A442" s="1" t="s">
        <v>19</v>
      </c>
      <c r="B442" s="1" t="s">
        <v>37</v>
      </c>
      <c r="C442" s="1" t="s">
        <v>21</v>
      </c>
      <c r="D442" s="1" t="s">
        <v>38</v>
      </c>
      <c r="E442" s="1" t="s">
        <v>96</v>
      </c>
      <c r="F442" s="1" t="s">
        <v>103</v>
      </c>
      <c r="G442" s="1" t="s">
        <v>98</v>
      </c>
      <c r="H442" s="1" t="s">
        <v>523</v>
      </c>
      <c r="I442" s="1" t="s">
        <v>100</v>
      </c>
      <c r="J442" s="1" t="s">
        <v>101</v>
      </c>
      <c r="L442" s="1">
        <v>2481080</v>
      </c>
      <c r="M442" s="1" t="s">
        <v>645</v>
      </c>
      <c r="N442" s="8">
        <f t="shared" si="141"/>
        <v>43178</v>
      </c>
      <c r="O442" s="8">
        <f>DATE(2020,12,23)</f>
        <v>44188</v>
      </c>
      <c r="P442" s="1">
        <v>2587</v>
      </c>
      <c r="Q442" s="1">
        <v>2400</v>
      </c>
      <c r="R442" s="1">
        <f t="shared" si="120"/>
        <v>2400</v>
      </c>
      <c r="S442" s="1">
        <v>1</v>
      </c>
      <c r="U442" s="1">
        <f t="shared" si="121"/>
        <v>1011</v>
      </c>
      <c r="V442" s="7">
        <f t="shared" si="122"/>
        <v>2.3738872403560829</v>
      </c>
      <c r="W442" s="7">
        <f t="shared" si="123"/>
        <v>866.46884272997022</v>
      </c>
      <c r="X442" s="7">
        <f t="shared" si="124"/>
        <v>1.0830860534124627</v>
      </c>
      <c r="AA442" s="8">
        <f t="shared" si="125"/>
        <v>44927</v>
      </c>
      <c r="AB442" s="8">
        <f t="shared" si="126"/>
        <v>45291</v>
      </c>
      <c r="AC442" s="1">
        <v>13</v>
      </c>
      <c r="AD442" s="1">
        <f t="shared" si="127"/>
        <v>0</v>
      </c>
      <c r="AE442" s="1">
        <f t="shared" si="128"/>
        <v>0</v>
      </c>
      <c r="AF442" s="1">
        <f t="shared" si="129"/>
        <v>0</v>
      </c>
      <c r="AG442" s="1">
        <f t="shared" si="130"/>
        <v>0</v>
      </c>
      <c r="AH442" s="1">
        <f t="shared" si="131"/>
        <v>182.5</v>
      </c>
      <c r="AI442" s="5">
        <f t="shared" si="132"/>
        <v>0.5</v>
      </c>
      <c r="AJ442" s="5">
        <f t="shared" si="133"/>
        <v>0.54154302670623133</v>
      </c>
      <c r="AK442" s="5">
        <f t="shared" si="134"/>
        <v>3.5200296735905034</v>
      </c>
      <c r="AL442" s="5">
        <f t="shared" si="135"/>
        <v>3.5200296735905034</v>
      </c>
      <c r="AM442" s="5">
        <f t="shared" si="136"/>
        <v>0</v>
      </c>
      <c r="AN442" s="5">
        <f t="shared" si="137"/>
        <v>3.5200296735905034</v>
      </c>
      <c r="AO442" s="1" t="s">
        <v>102</v>
      </c>
    </row>
    <row r="443" spans="1:41" x14ac:dyDescent="0.25">
      <c r="A443" s="1" t="s">
        <v>19</v>
      </c>
      <c r="B443" s="1" t="s">
        <v>37</v>
      </c>
      <c r="C443" s="1" t="s">
        <v>21</v>
      </c>
      <c r="D443" s="1" t="s">
        <v>38</v>
      </c>
      <c r="E443" s="1" t="s">
        <v>96</v>
      </c>
      <c r="F443" s="1" t="s">
        <v>103</v>
      </c>
      <c r="G443" s="1" t="s">
        <v>98</v>
      </c>
      <c r="H443" s="1" t="s">
        <v>566</v>
      </c>
      <c r="I443" s="1" t="s">
        <v>336</v>
      </c>
      <c r="J443" s="1" t="s">
        <v>101</v>
      </c>
      <c r="L443" s="1">
        <v>2481081</v>
      </c>
      <c r="M443" s="1" t="s">
        <v>646</v>
      </c>
      <c r="N443" s="8">
        <f t="shared" si="141"/>
        <v>43178</v>
      </c>
      <c r="O443" s="8">
        <f>DATE(2020,12,23)</f>
        <v>44188</v>
      </c>
      <c r="P443" s="1">
        <v>2668</v>
      </c>
      <c r="Q443" s="1">
        <v>2400</v>
      </c>
      <c r="R443" s="1">
        <f t="shared" si="120"/>
        <v>2400</v>
      </c>
      <c r="S443" s="1">
        <v>1</v>
      </c>
      <c r="U443" s="1">
        <f t="shared" si="121"/>
        <v>1011</v>
      </c>
      <c r="V443" s="7">
        <f t="shared" si="122"/>
        <v>2.3738872403560829</v>
      </c>
      <c r="W443" s="7">
        <f t="shared" si="123"/>
        <v>866.46884272997022</v>
      </c>
      <c r="X443" s="7">
        <f t="shared" si="124"/>
        <v>1.0830860534124627</v>
      </c>
      <c r="AA443" s="8">
        <f t="shared" si="125"/>
        <v>44927</v>
      </c>
      <c r="AB443" s="8">
        <f t="shared" si="126"/>
        <v>45291</v>
      </c>
      <c r="AC443" s="1">
        <v>9</v>
      </c>
      <c r="AD443" s="1">
        <f t="shared" si="127"/>
        <v>0</v>
      </c>
      <c r="AE443" s="1">
        <f t="shared" si="128"/>
        <v>0</v>
      </c>
      <c r="AF443" s="1">
        <f t="shared" si="129"/>
        <v>0</v>
      </c>
      <c r="AG443" s="1">
        <f t="shared" si="130"/>
        <v>0</v>
      </c>
      <c r="AH443" s="1">
        <f t="shared" si="131"/>
        <v>182.5</v>
      </c>
      <c r="AI443" s="5">
        <f t="shared" si="132"/>
        <v>0.5</v>
      </c>
      <c r="AJ443" s="5">
        <f t="shared" si="133"/>
        <v>0.54154302670623133</v>
      </c>
      <c r="AK443" s="5">
        <f t="shared" si="134"/>
        <v>2.4369436201780408</v>
      </c>
      <c r="AL443" s="5">
        <f t="shared" si="135"/>
        <v>2.4369436201780408</v>
      </c>
      <c r="AM443" s="5">
        <f t="shared" si="136"/>
        <v>0</v>
      </c>
      <c r="AN443" s="5">
        <f t="shared" si="137"/>
        <v>2.4369436201780408</v>
      </c>
      <c r="AO443" s="1" t="s">
        <v>102</v>
      </c>
    </row>
    <row r="444" spans="1:41" x14ac:dyDescent="0.25">
      <c r="A444" s="1" t="s">
        <v>19</v>
      </c>
      <c r="B444" s="1" t="s">
        <v>37</v>
      </c>
      <c r="C444" s="1" t="s">
        <v>21</v>
      </c>
      <c r="D444" s="1" t="s">
        <v>38</v>
      </c>
      <c r="E444" s="1" t="s">
        <v>96</v>
      </c>
      <c r="F444" s="1" t="s">
        <v>103</v>
      </c>
      <c r="G444" s="1" t="s">
        <v>127</v>
      </c>
      <c r="H444" s="1" t="s">
        <v>520</v>
      </c>
      <c r="I444" s="1" t="s">
        <v>210</v>
      </c>
      <c r="J444" s="1" t="s">
        <v>101</v>
      </c>
      <c r="L444" s="1">
        <v>2481084</v>
      </c>
      <c r="M444" s="1" t="s">
        <v>647</v>
      </c>
      <c r="N444" s="8">
        <f t="shared" si="141"/>
        <v>43178</v>
      </c>
      <c r="O444" s="8">
        <f>DATE(2021,8,16)</f>
        <v>44424</v>
      </c>
      <c r="P444" s="1">
        <v>2406</v>
      </c>
      <c r="Q444" s="1">
        <v>2400</v>
      </c>
      <c r="R444" s="1">
        <f t="shared" ref="R444:R507" si="142">IF(OR(G444="QUALIFICACAO PROFISSIONAL (FIC)",G444="DOUTORADO"),P444,
    IF(ISNUMBER(FIND("PROEJA",K444)),2400,
        IF(K444="INTEGRADO",
            IF(Q444=800,3000,
                IF(Q444=1000,3100,
                    IF(Q444=1200,3200,Q444)
                )
            ),
            Q444
        )
    )
)</f>
        <v>2400</v>
      </c>
      <c r="S444" s="1">
        <v>2.5</v>
      </c>
      <c r="U444" s="1">
        <f t="shared" ref="U444:U507" si="143">O444-N444+1</f>
        <v>1247</v>
      </c>
      <c r="V444" s="7">
        <f t="shared" ref="V444:V507" si="144">IF(R444&gt;P444,P444,R444)/U444</f>
        <v>1.9246190858059342</v>
      </c>
      <c r="W444" s="7">
        <f t="shared" ref="W444:W507" si="145">IF(U444&gt;365,V444*365,R444)</f>
        <v>702.48596631916598</v>
      </c>
      <c r="X444" s="7">
        <f t="shared" ref="X444:X507" si="146">IF(U444&gt;365,W444/800,R444/800)</f>
        <v>0.8781074578989575</v>
      </c>
      <c r="AA444" s="8">
        <f t="shared" ref="AA444:AA507" si="147">DATE(2023,1,1)</f>
        <v>44927</v>
      </c>
      <c r="AB444" s="8">
        <f t="shared" ref="AB444:AB507" si="148">DATE(2023,12,31)</f>
        <v>45291</v>
      </c>
      <c r="AC444" s="1">
        <v>4</v>
      </c>
      <c r="AD444" s="1">
        <f t="shared" ref="AD444:AD507" si="149">IF(AND(N444&lt;AA444,O444&gt;AB444),AB444-AA444+1,0)</f>
        <v>0</v>
      </c>
      <c r="AE444" s="1">
        <f t="shared" ref="AE444:AE507" si="150">IF(AND(N444&gt;=AA444,O444&gt;AB444,N444&lt;AB444),AB444-N444+1,0)</f>
        <v>0</v>
      </c>
      <c r="AF444" s="1">
        <f t="shared" ref="AF444:AF507" si="151">IF(AND(N444&lt;AA444,O444&lt;=AB444,O444&gt;=AA444),O444-AA444+1,0)</f>
        <v>0</v>
      </c>
      <c r="AG444" s="1">
        <f t="shared" ref="AG444:AG507" si="152">IF(AND(N444&gt;=AA444,O444&lt;=AB444),O444-N444+1,0)</f>
        <v>0</v>
      </c>
      <c r="AH444" s="1">
        <f t="shared" ref="AH444:AH507" si="153">IF(AND(N444&lt;AA444,O444&lt;AA444),(AB444-AA444+1)/2,0)</f>
        <v>182.5</v>
      </c>
      <c r="AI444" s="5">
        <f t="shared" ref="AI444:AI507" si="154">SUM(AD444:AH444)/IF(U444&gt;=365,AB444-AA444+1,U444)</f>
        <v>0.5</v>
      </c>
      <c r="AJ444" s="5">
        <f t="shared" ref="AJ444:AJ507" si="155">X444*AI444</f>
        <v>0.43905372894947875</v>
      </c>
      <c r="AK444" s="5">
        <f t="shared" ref="AK444:AK507" si="156">IF(AH444=0,AJ444*AC444,IF(AA444-O444&gt;1095,0,AJ444*(AC444/2)))</f>
        <v>0.8781074578989575</v>
      </c>
      <c r="AL444" s="5">
        <f t="shared" ref="AL444:AL507" si="157">AK444*S444</f>
        <v>2.1952686447473937</v>
      </c>
      <c r="AM444" s="5">
        <f t="shared" ref="AM444:AM507" si="158">IF(J444="SIM",AL444*50%,0)</f>
        <v>0</v>
      </c>
      <c r="AN444" s="5">
        <f t="shared" ref="AN444:AN507" si="159">AL444+AM444</f>
        <v>2.1952686447473937</v>
      </c>
      <c r="AO444" s="1" t="s">
        <v>102</v>
      </c>
    </row>
    <row r="445" spans="1:41" x14ac:dyDescent="0.25">
      <c r="A445" s="1" t="s">
        <v>19</v>
      </c>
      <c r="B445" s="1" t="s">
        <v>37</v>
      </c>
      <c r="C445" s="1" t="s">
        <v>21</v>
      </c>
      <c r="D445" s="1" t="s">
        <v>38</v>
      </c>
      <c r="E445" s="1" t="s">
        <v>96</v>
      </c>
      <c r="F445" s="1" t="s">
        <v>103</v>
      </c>
      <c r="G445" s="1" t="s">
        <v>127</v>
      </c>
      <c r="H445" s="1" t="s">
        <v>555</v>
      </c>
      <c r="I445" s="1" t="s">
        <v>331</v>
      </c>
      <c r="J445" s="1" t="s">
        <v>101</v>
      </c>
      <c r="L445" s="1">
        <v>2481088</v>
      </c>
      <c r="M445" s="1" t="s">
        <v>648</v>
      </c>
      <c r="N445" s="8">
        <f t="shared" si="141"/>
        <v>43178</v>
      </c>
      <c r="O445" s="8">
        <f>DATE(2021,8,16)</f>
        <v>44424</v>
      </c>
      <c r="P445" s="1">
        <v>2562</v>
      </c>
      <c r="Q445" s="1">
        <v>2400</v>
      </c>
      <c r="R445" s="1">
        <f t="shared" si="142"/>
        <v>2400</v>
      </c>
      <c r="S445" s="1">
        <v>2.5</v>
      </c>
      <c r="U445" s="1">
        <f t="shared" si="143"/>
        <v>1247</v>
      </c>
      <c r="V445" s="7">
        <f t="shared" si="144"/>
        <v>1.9246190858059342</v>
      </c>
      <c r="W445" s="7">
        <f t="shared" si="145"/>
        <v>702.48596631916598</v>
      </c>
      <c r="X445" s="7">
        <f t="shared" si="146"/>
        <v>0.8781074578989575</v>
      </c>
      <c r="AA445" s="8">
        <f t="shared" si="147"/>
        <v>44927</v>
      </c>
      <c r="AB445" s="8">
        <f t="shared" si="148"/>
        <v>45291</v>
      </c>
      <c r="AC445" s="1">
        <v>19</v>
      </c>
      <c r="AD445" s="1">
        <f t="shared" si="149"/>
        <v>0</v>
      </c>
      <c r="AE445" s="1">
        <f t="shared" si="150"/>
        <v>0</v>
      </c>
      <c r="AF445" s="1">
        <f t="shared" si="151"/>
        <v>0</v>
      </c>
      <c r="AG445" s="1">
        <f t="shared" si="152"/>
        <v>0</v>
      </c>
      <c r="AH445" s="1">
        <f t="shared" si="153"/>
        <v>182.5</v>
      </c>
      <c r="AI445" s="5">
        <f t="shared" si="154"/>
        <v>0.5</v>
      </c>
      <c r="AJ445" s="5">
        <f t="shared" si="155"/>
        <v>0.43905372894947875</v>
      </c>
      <c r="AK445" s="5">
        <f t="shared" si="156"/>
        <v>4.1710104250200484</v>
      </c>
      <c r="AL445" s="5">
        <f t="shared" si="157"/>
        <v>10.427526062550122</v>
      </c>
      <c r="AM445" s="5">
        <f t="shared" si="158"/>
        <v>0</v>
      </c>
      <c r="AN445" s="5">
        <f t="shared" si="159"/>
        <v>10.427526062550122</v>
      </c>
      <c r="AO445" s="1" t="s">
        <v>102</v>
      </c>
    </row>
    <row r="446" spans="1:41" x14ac:dyDescent="0.25">
      <c r="A446" s="1" t="s">
        <v>19</v>
      </c>
      <c r="B446" s="1" t="s">
        <v>37</v>
      </c>
      <c r="C446" s="1" t="s">
        <v>21</v>
      </c>
      <c r="D446" s="1" t="s">
        <v>38</v>
      </c>
      <c r="E446" s="1" t="s">
        <v>96</v>
      </c>
      <c r="F446" s="1" t="s">
        <v>103</v>
      </c>
      <c r="G446" s="1" t="s">
        <v>127</v>
      </c>
      <c r="H446" s="1" t="s">
        <v>562</v>
      </c>
      <c r="I446" s="1" t="s">
        <v>331</v>
      </c>
      <c r="J446" s="1" t="s">
        <v>101</v>
      </c>
      <c r="L446" s="1">
        <v>2481091</v>
      </c>
      <c r="M446" s="1" t="s">
        <v>649</v>
      </c>
      <c r="N446" s="8">
        <f t="shared" si="141"/>
        <v>43178</v>
      </c>
      <c r="O446" s="8">
        <f>DATE(2020,12,23)</f>
        <v>44188</v>
      </c>
      <c r="P446" s="1">
        <v>2332</v>
      </c>
      <c r="Q446" s="1">
        <v>2400</v>
      </c>
      <c r="R446" s="1">
        <f t="shared" si="142"/>
        <v>2400</v>
      </c>
      <c r="S446" s="1">
        <v>2.5</v>
      </c>
      <c r="U446" s="1">
        <f t="shared" si="143"/>
        <v>1011</v>
      </c>
      <c r="V446" s="7">
        <f t="shared" si="144"/>
        <v>2.3066271018793274</v>
      </c>
      <c r="W446" s="7">
        <f t="shared" si="145"/>
        <v>841.91889218595452</v>
      </c>
      <c r="X446" s="7">
        <f t="shared" si="146"/>
        <v>1.0523986152324432</v>
      </c>
      <c r="AA446" s="8">
        <f t="shared" si="147"/>
        <v>44927</v>
      </c>
      <c r="AB446" s="8">
        <f t="shared" si="148"/>
        <v>45291</v>
      </c>
      <c r="AC446" s="1">
        <v>11</v>
      </c>
      <c r="AD446" s="1">
        <f t="shared" si="149"/>
        <v>0</v>
      </c>
      <c r="AE446" s="1">
        <f t="shared" si="150"/>
        <v>0</v>
      </c>
      <c r="AF446" s="1">
        <f t="shared" si="151"/>
        <v>0</v>
      </c>
      <c r="AG446" s="1">
        <f t="shared" si="152"/>
        <v>0</v>
      </c>
      <c r="AH446" s="1">
        <f t="shared" si="153"/>
        <v>182.5</v>
      </c>
      <c r="AI446" s="5">
        <f t="shared" si="154"/>
        <v>0.5</v>
      </c>
      <c r="AJ446" s="5">
        <f t="shared" si="155"/>
        <v>0.52619930761622158</v>
      </c>
      <c r="AK446" s="5">
        <f t="shared" si="156"/>
        <v>2.8940961918892185</v>
      </c>
      <c r="AL446" s="5">
        <f t="shared" si="157"/>
        <v>7.2352404797230463</v>
      </c>
      <c r="AM446" s="5">
        <f t="shared" si="158"/>
        <v>0</v>
      </c>
      <c r="AN446" s="5">
        <f t="shared" si="159"/>
        <v>7.2352404797230463</v>
      </c>
      <c r="AO446" s="1" t="s">
        <v>102</v>
      </c>
    </row>
    <row r="447" spans="1:41" x14ac:dyDescent="0.25">
      <c r="A447" s="1" t="s">
        <v>19</v>
      </c>
      <c r="B447" s="1" t="s">
        <v>37</v>
      </c>
      <c r="C447" s="1" t="s">
        <v>21</v>
      </c>
      <c r="D447" s="1" t="s">
        <v>38</v>
      </c>
      <c r="E447" s="1" t="s">
        <v>96</v>
      </c>
      <c r="F447" s="1" t="s">
        <v>103</v>
      </c>
      <c r="G447" s="1" t="s">
        <v>127</v>
      </c>
      <c r="H447" s="1" t="s">
        <v>518</v>
      </c>
      <c r="I447" s="1" t="s">
        <v>162</v>
      </c>
      <c r="J447" s="1" t="s">
        <v>101</v>
      </c>
      <c r="L447" s="1">
        <v>2481095</v>
      </c>
      <c r="M447" s="1" t="s">
        <v>650</v>
      </c>
      <c r="N447" s="8">
        <f t="shared" si="141"/>
        <v>43178</v>
      </c>
      <c r="O447" s="8">
        <f>DATE(2020,12,23)</f>
        <v>44188</v>
      </c>
      <c r="P447" s="1">
        <v>2246</v>
      </c>
      <c r="Q447" s="1">
        <v>2000</v>
      </c>
      <c r="R447" s="1">
        <f t="shared" si="142"/>
        <v>2000</v>
      </c>
      <c r="S447" s="1">
        <v>1.5</v>
      </c>
      <c r="U447" s="1">
        <f t="shared" si="143"/>
        <v>1011</v>
      </c>
      <c r="V447" s="7">
        <f t="shared" si="144"/>
        <v>1.9782393669634026</v>
      </c>
      <c r="W447" s="7">
        <f t="shared" si="145"/>
        <v>722.05736894164193</v>
      </c>
      <c r="X447" s="7">
        <f t="shared" si="146"/>
        <v>0.90257171117705237</v>
      </c>
      <c r="AA447" s="8">
        <f t="shared" si="147"/>
        <v>44927</v>
      </c>
      <c r="AB447" s="8">
        <f t="shared" si="148"/>
        <v>45291</v>
      </c>
      <c r="AC447" s="1">
        <v>24</v>
      </c>
      <c r="AD447" s="1">
        <f t="shared" si="149"/>
        <v>0</v>
      </c>
      <c r="AE447" s="1">
        <f t="shared" si="150"/>
        <v>0</v>
      </c>
      <c r="AF447" s="1">
        <f t="shared" si="151"/>
        <v>0</v>
      </c>
      <c r="AG447" s="1">
        <f t="shared" si="152"/>
        <v>0</v>
      </c>
      <c r="AH447" s="1">
        <f t="shared" si="153"/>
        <v>182.5</v>
      </c>
      <c r="AI447" s="5">
        <f t="shared" si="154"/>
        <v>0.5</v>
      </c>
      <c r="AJ447" s="5">
        <f t="shared" si="155"/>
        <v>0.45128585558852619</v>
      </c>
      <c r="AK447" s="5">
        <f t="shared" si="156"/>
        <v>5.4154302670623142</v>
      </c>
      <c r="AL447" s="5">
        <f t="shared" si="157"/>
        <v>8.1231454005934722</v>
      </c>
      <c r="AM447" s="5">
        <f t="shared" si="158"/>
        <v>0</v>
      </c>
      <c r="AN447" s="5">
        <f t="shared" si="159"/>
        <v>8.1231454005934722</v>
      </c>
      <c r="AO447" s="1" t="s">
        <v>102</v>
      </c>
    </row>
    <row r="448" spans="1:41" x14ac:dyDescent="0.25">
      <c r="A448" s="1" t="s">
        <v>19</v>
      </c>
      <c r="B448" s="1" t="s">
        <v>37</v>
      </c>
      <c r="C448" s="1" t="s">
        <v>21</v>
      </c>
      <c r="D448" s="1" t="s">
        <v>38</v>
      </c>
      <c r="E448" s="1" t="s">
        <v>96</v>
      </c>
      <c r="F448" s="1" t="s">
        <v>103</v>
      </c>
      <c r="G448" s="1" t="s">
        <v>127</v>
      </c>
      <c r="H448" s="1" t="s">
        <v>528</v>
      </c>
      <c r="I448" s="1" t="s">
        <v>162</v>
      </c>
      <c r="J448" s="1" t="s">
        <v>101</v>
      </c>
      <c r="L448" s="1">
        <v>2481096</v>
      </c>
      <c r="M448" s="1" t="s">
        <v>651</v>
      </c>
      <c r="N448" s="8">
        <f t="shared" si="141"/>
        <v>43178</v>
      </c>
      <c r="O448" s="8">
        <f>DATE(2020,12,23)</f>
        <v>44188</v>
      </c>
      <c r="P448" s="1">
        <v>2324</v>
      </c>
      <c r="Q448" s="1">
        <v>2000</v>
      </c>
      <c r="R448" s="1">
        <f t="shared" si="142"/>
        <v>2000</v>
      </c>
      <c r="S448" s="1">
        <v>1</v>
      </c>
      <c r="U448" s="1">
        <f t="shared" si="143"/>
        <v>1011</v>
      </c>
      <c r="V448" s="7">
        <f t="shared" si="144"/>
        <v>1.9782393669634026</v>
      </c>
      <c r="W448" s="7">
        <f t="shared" si="145"/>
        <v>722.05736894164193</v>
      </c>
      <c r="X448" s="7">
        <f t="shared" si="146"/>
        <v>0.90257171117705237</v>
      </c>
      <c r="AA448" s="8">
        <f t="shared" si="147"/>
        <v>44927</v>
      </c>
      <c r="AB448" s="8">
        <f t="shared" si="148"/>
        <v>45291</v>
      </c>
      <c r="AC448" s="1">
        <v>10</v>
      </c>
      <c r="AD448" s="1">
        <f t="shared" si="149"/>
        <v>0</v>
      </c>
      <c r="AE448" s="1">
        <f t="shared" si="150"/>
        <v>0</v>
      </c>
      <c r="AF448" s="1">
        <f t="shared" si="151"/>
        <v>0</v>
      </c>
      <c r="AG448" s="1">
        <f t="shared" si="152"/>
        <v>0</v>
      </c>
      <c r="AH448" s="1">
        <f t="shared" si="153"/>
        <v>182.5</v>
      </c>
      <c r="AI448" s="5">
        <f t="shared" si="154"/>
        <v>0.5</v>
      </c>
      <c r="AJ448" s="5">
        <f t="shared" si="155"/>
        <v>0.45128585558852619</v>
      </c>
      <c r="AK448" s="5">
        <f t="shared" si="156"/>
        <v>2.2564292779426309</v>
      </c>
      <c r="AL448" s="5">
        <f t="shared" si="157"/>
        <v>2.2564292779426309</v>
      </c>
      <c r="AM448" s="5">
        <f t="shared" si="158"/>
        <v>0</v>
      </c>
      <c r="AN448" s="5">
        <f t="shared" si="159"/>
        <v>2.2564292779426309</v>
      </c>
      <c r="AO448" s="1" t="s">
        <v>102</v>
      </c>
    </row>
    <row r="449" spans="1:41" x14ac:dyDescent="0.25">
      <c r="A449" s="1" t="s">
        <v>19</v>
      </c>
      <c r="B449" s="1" t="s">
        <v>37</v>
      </c>
      <c r="C449" s="1" t="s">
        <v>21</v>
      </c>
      <c r="D449" s="1" t="s">
        <v>38</v>
      </c>
      <c r="E449" s="1" t="s">
        <v>96</v>
      </c>
      <c r="F449" s="1" t="s">
        <v>103</v>
      </c>
      <c r="G449" s="1" t="s">
        <v>114</v>
      </c>
      <c r="H449" s="1" t="s">
        <v>574</v>
      </c>
      <c r="I449" s="1" t="s">
        <v>331</v>
      </c>
      <c r="J449" s="1" t="s">
        <v>101</v>
      </c>
      <c r="K449" s="1" t="s">
        <v>175</v>
      </c>
      <c r="L449" s="1">
        <v>2523466</v>
      </c>
      <c r="M449" s="1" t="s">
        <v>652</v>
      </c>
      <c r="N449" s="8">
        <f t="shared" ref="N449:N459" si="160">DATE(2018,8,13)</f>
        <v>43325</v>
      </c>
      <c r="O449" s="8">
        <f>DATE(2020,7,10)</f>
        <v>44022</v>
      </c>
      <c r="P449" s="1">
        <v>1258</v>
      </c>
      <c r="Q449" s="1">
        <v>1200</v>
      </c>
      <c r="R449" s="1">
        <f t="shared" si="142"/>
        <v>1200</v>
      </c>
      <c r="S449" s="1">
        <v>2.5</v>
      </c>
      <c r="U449" s="1">
        <f t="shared" si="143"/>
        <v>698</v>
      </c>
      <c r="V449" s="7">
        <f t="shared" si="144"/>
        <v>1.7191977077363896</v>
      </c>
      <c r="W449" s="7">
        <f t="shared" si="145"/>
        <v>627.50716332378215</v>
      </c>
      <c r="X449" s="7">
        <f t="shared" si="146"/>
        <v>0.78438395415472772</v>
      </c>
      <c r="AA449" s="8">
        <f t="shared" si="147"/>
        <v>44927</v>
      </c>
      <c r="AB449" s="8">
        <f t="shared" si="148"/>
        <v>45291</v>
      </c>
      <c r="AC449" s="1">
        <v>7</v>
      </c>
      <c r="AD449" s="1">
        <f t="shared" si="149"/>
        <v>0</v>
      </c>
      <c r="AE449" s="1">
        <f t="shared" si="150"/>
        <v>0</v>
      </c>
      <c r="AF449" s="1">
        <f t="shared" si="151"/>
        <v>0</v>
      </c>
      <c r="AG449" s="1">
        <f t="shared" si="152"/>
        <v>0</v>
      </c>
      <c r="AH449" s="1">
        <f t="shared" si="153"/>
        <v>182.5</v>
      </c>
      <c r="AI449" s="5">
        <f t="shared" si="154"/>
        <v>0.5</v>
      </c>
      <c r="AJ449" s="5">
        <f t="shared" si="155"/>
        <v>0.39219197707736386</v>
      </c>
      <c r="AK449" s="5">
        <f t="shared" si="156"/>
        <v>1.3726719197707735</v>
      </c>
      <c r="AL449" s="5">
        <f t="shared" si="157"/>
        <v>3.4316797994269339</v>
      </c>
      <c r="AM449" s="5">
        <f t="shared" si="158"/>
        <v>0</v>
      </c>
      <c r="AN449" s="5">
        <f t="shared" si="159"/>
        <v>3.4316797994269339</v>
      </c>
      <c r="AO449" s="1" t="s">
        <v>102</v>
      </c>
    </row>
    <row r="450" spans="1:41" x14ac:dyDescent="0.25">
      <c r="A450" s="1" t="s">
        <v>19</v>
      </c>
      <c r="B450" s="1" t="s">
        <v>37</v>
      </c>
      <c r="C450" s="1" t="s">
        <v>21</v>
      </c>
      <c r="D450" s="1" t="s">
        <v>38</v>
      </c>
      <c r="E450" s="1" t="s">
        <v>96</v>
      </c>
      <c r="F450" s="1" t="s">
        <v>103</v>
      </c>
      <c r="G450" s="1" t="s">
        <v>114</v>
      </c>
      <c r="H450" s="1" t="s">
        <v>569</v>
      </c>
      <c r="I450" s="1" t="s">
        <v>331</v>
      </c>
      <c r="J450" s="1" t="s">
        <v>101</v>
      </c>
      <c r="K450" s="1" t="s">
        <v>175</v>
      </c>
      <c r="L450" s="1">
        <v>2523470</v>
      </c>
      <c r="M450" s="1" t="s">
        <v>653</v>
      </c>
      <c r="N450" s="8">
        <f t="shared" si="160"/>
        <v>43325</v>
      </c>
      <c r="O450" s="8">
        <f>DATE(2020,7,10)</f>
        <v>44022</v>
      </c>
      <c r="P450" s="1">
        <v>1360</v>
      </c>
      <c r="Q450" s="1">
        <v>1200</v>
      </c>
      <c r="R450" s="1">
        <f t="shared" si="142"/>
        <v>1200</v>
      </c>
      <c r="S450" s="1">
        <v>2.5</v>
      </c>
      <c r="U450" s="1">
        <f t="shared" si="143"/>
        <v>698</v>
      </c>
      <c r="V450" s="7">
        <f t="shared" si="144"/>
        <v>1.7191977077363896</v>
      </c>
      <c r="W450" s="7">
        <f t="shared" si="145"/>
        <v>627.50716332378215</v>
      </c>
      <c r="X450" s="7">
        <f t="shared" si="146"/>
        <v>0.78438395415472772</v>
      </c>
      <c r="AA450" s="8">
        <f t="shared" si="147"/>
        <v>44927</v>
      </c>
      <c r="AB450" s="8">
        <f t="shared" si="148"/>
        <v>45291</v>
      </c>
      <c r="AC450" s="1">
        <v>11</v>
      </c>
      <c r="AD450" s="1">
        <f t="shared" si="149"/>
        <v>0</v>
      </c>
      <c r="AE450" s="1">
        <f t="shared" si="150"/>
        <v>0</v>
      </c>
      <c r="AF450" s="1">
        <f t="shared" si="151"/>
        <v>0</v>
      </c>
      <c r="AG450" s="1">
        <f t="shared" si="152"/>
        <v>0</v>
      </c>
      <c r="AH450" s="1">
        <f t="shared" si="153"/>
        <v>182.5</v>
      </c>
      <c r="AI450" s="5">
        <f t="shared" si="154"/>
        <v>0.5</v>
      </c>
      <c r="AJ450" s="5">
        <f t="shared" si="155"/>
        <v>0.39219197707736386</v>
      </c>
      <c r="AK450" s="5">
        <f t="shared" si="156"/>
        <v>2.1570558739255015</v>
      </c>
      <c r="AL450" s="5">
        <f t="shared" si="157"/>
        <v>5.3926396848137532</v>
      </c>
      <c r="AM450" s="5">
        <f t="shared" si="158"/>
        <v>0</v>
      </c>
      <c r="AN450" s="5">
        <f t="shared" si="159"/>
        <v>5.3926396848137532</v>
      </c>
      <c r="AO450" s="1" t="s">
        <v>102</v>
      </c>
    </row>
    <row r="451" spans="1:41" x14ac:dyDescent="0.25">
      <c r="A451" s="1" t="s">
        <v>19</v>
      </c>
      <c r="B451" s="1" t="s">
        <v>37</v>
      </c>
      <c r="C451" s="1" t="s">
        <v>21</v>
      </c>
      <c r="D451" s="1" t="s">
        <v>38</v>
      </c>
      <c r="E451" s="1" t="s">
        <v>96</v>
      </c>
      <c r="F451" s="1" t="s">
        <v>103</v>
      </c>
      <c r="G451" s="1" t="s">
        <v>114</v>
      </c>
      <c r="H451" s="1" t="s">
        <v>590</v>
      </c>
      <c r="I451" s="1" t="s">
        <v>210</v>
      </c>
      <c r="J451" s="1" t="s">
        <v>101</v>
      </c>
      <c r="K451" s="1" t="s">
        <v>175</v>
      </c>
      <c r="L451" s="1">
        <v>2523472</v>
      </c>
      <c r="M451" s="1" t="s">
        <v>654</v>
      </c>
      <c r="N451" s="8">
        <f t="shared" si="160"/>
        <v>43325</v>
      </c>
      <c r="O451" s="8">
        <f>DATE(2020,7,10)</f>
        <v>44022</v>
      </c>
      <c r="P451" s="1">
        <v>1703</v>
      </c>
      <c r="Q451" s="1">
        <v>1200</v>
      </c>
      <c r="R451" s="1">
        <f t="shared" si="142"/>
        <v>1200</v>
      </c>
      <c r="S451" s="1">
        <v>2.5</v>
      </c>
      <c r="U451" s="1">
        <f t="shared" si="143"/>
        <v>698</v>
      </c>
      <c r="V451" s="7">
        <f t="shared" si="144"/>
        <v>1.7191977077363896</v>
      </c>
      <c r="W451" s="7">
        <f t="shared" si="145"/>
        <v>627.50716332378215</v>
      </c>
      <c r="X451" s="7">
        <f t="shared" si="146"/>
        <v>0.78438395415472772</v>
      </c>
      <c r="AA451" s="8">
        <f t="shared" si="147"/>
        <v>44927</v>
      </c>
      <c r="AB451" s="8">
        <f t="shared" si="148"/>
        <v>45291</v>
      </c>
      <c r="AC451" s="1">
        <v>5</v>
      </c>
      <c r="AD451" s="1">
        <f t="shared" si="149"/>
        <v>0</v>
      </c>
      <c r="AE451" s="1">
        <f t="shared" si="150"/>
        <v>0</v>
      </c>
      <c r="AF451" s="1">
        <f t="shared" si="151"/>
        <v>0</v>
      </c>
      <c r="AG451" s="1">
        <f t="shared" si="152"/>
        <v>0</v>
      </c>
      <c r="AH451" s="1">
        <f t="shared" si="153"/>
        <v>182.5</v>
      </c>
      <c r="AI451" s="5">
        <f t="shared" si="154"/>
        <v>0.5</v>
      </c>
      <c r="AJ451" s="5">
        <f t="shared" si="155"/>
        <v>0.39219197707736386</v>
      </c>
      <c r="AK451" s="5">
        <f t="shared" si="156"/>
        <v>0.98047994269340966</v>
      </c>
      <c r="AL451" s="5">
        <f t="shared" si="157"/>
        <v>2.451199856733524</v>
      </c>
      <c r="AM451" s="5">
        <f t="shared" si="158"/>
        <v>0</v>
      </c>
      <c r="AN451" s="5">
        <f t="shared" si="159"/>
        <v>2.451199856733524</v>
      </c>
      <c r="AO451" s="1" t="s">
        <v>102</v>
      </c>
    </row>
    <row r="452" spans="1:41" x14ac:dyDescent="0.25">
      <c r="A452" s="1" t="s">
        <v>19</v>
      </c>
      <c r="B452" s="1" t="s">
        <v>37</v>
      </c>
      <c r="C452" s="1" t="s">
        <v>21</v>
      </c>
      <c r="D452" s="1" t="s">
        <v>38</v>
      </c>
      <c r="E452" s="1" t="s">
        <v>96</v>
      </c>
      <c r="F452" s="1" t="s">
        <v>103</v>
      </c>
      <c r="G452" s="1" t="s">
        <v>114</v>
      </c>
      <c r="H452" s="1" t="s">
        <v>592</v>
      </c>
      <c r="I452" s="1" t="s">
        <v>210</v>
      </c>
      <c r="J452" s="1" t="s">
        <v>101</v>
      </c>
      <c r="K452" s="1" t="s">
        <v>175</v>
      </c>
      <c r="L452" s="1">
        <v>2523473</v>
      </c>
      <c r="M452" s="1" t="s">
        <v>655</v>
      </c>
      <c r="N452" s="8">
        <f t="shared" si="160"/>
        <v>43325</v>
      </c>
      <c r="O452" s="8">
        <f>DATE(2020,7,10)</f>
        <v>44022</v>
      </c>
      <c r="P452" s="1">
        <v>1707</v>
      </c>
      <c r="Q452" s="1">
        <v>1200</v>
      </c>
      <c r="R452" s="1">
        <f t="shared" si="142"/>
        <v>1200</v>
      </c>
      <c r="S452" s="1">
        <v>2.5</v>
      </c>
      <c r="U452" s="1">
        <f t="shared" si="143"/>
        <v>698</v>
      </c>
      <c r="V452" s="7">
        <f t="shared" si="144"/>
        <v>1.7191977077363896</v>
      </c>
      <c r="W452" s="7">
        <f t="shared" si="145"/>
        <v>627.50716332378215</v>
      </c>
      <c r="X452" s="7">
        <f t="shared" si="146"/>
        <v>0.78438395415472772</v>
      </c>
      <c r="AA452" s="8">
        <f t="shared" si="147"/>
        <v>44927</v>
      </c>
      <c r="AB452" s="8">
        <f t="shared" si="148"/>
        <v>45291</v>
      </c>
      <c r="AC452" s="1">
        <v>1</v>
      </c>
      <c r="AD452" s="1">
        <f t="shared" si="149"/>
        <v>0</v>
      </c>
      <c r="AE452" s="1">
        <f t="shared" si="150"/>
        <v>0</v>
      </c>
      <c r="AF452" s="1">
        <f t="shared" si="151"/>
        <v>0</v>
      </c>
      <c r="AG452" s="1">
        <f t="shared" si="152"/>
        <v>0</v>
      </c>
      <c r="AH452" s="1">
        <f t="shared" si="153"/>
        <v>182.5</v>
      </c>
      <c r="AI452" s="5">
        <f t="shared" si="154"/>
        <v>0.5</v>
      </c>
      <c r="AJ452" s="5">
        <f t="shared" si="155"/>
        <v>0.39219197707736386</v>
      </c>
      <c r="AK452" s="5">
        <f t="shared" si="156"/>
        <v>0.19609598853868193</v>
      </c>
      <c r="AL452" s="5">
        <f t="shared" si="157"/>
        <v>0.49023997134670483</v>
      </c>
      <c r="AM452" s="5">
        <f t="shared" si="158"/>
        <v>0</v>
      </c>
      <c r="AN452" s="5">
        <f t="shared" si="159"/>
        <v>0.49023997134670483</v>
      </c>
      <c r="AO452" s="1" t="s">
        <v>102</v>
      </c>
    </row>
    <row r="453" spans="1:41" x14ac:dyDescent="0.25">
      <c r="A453" s="1" t="s">
        <v>19</v>
      </c>
      <c r="B453" s="1" t="s">
        <v>37</v>
      </c>
      <c r="C453" s="1" t="s">
        <v>21</v>
      </c>
      <c r="D453" s="1" t="s">
        <v>38</v>
      </c>
      <c r="E453" s="1" t="s">
        <v>96</v>
      </c>
      <c r="F453" s="1" t="s">
        <v>103</v>
      </c>
      <c r="G453" s="1" t="s">
        <v>98</v>
      </c>
      <c r="H453" s="1" t="s">
        <v>537</v>
      </c>
      <c r="I453" s="1" t="s">
        <v>162</v>
      </c>
      <c r="J453" s="1" t="s">
        <v>101</v>
      </c>
      <c r="L453" s="1">
        <v>2523497</v>
      </c>
      <c r="M453" s="1" t="s">
        <v>656</v>
      </c>
      <c r="N453" s="8">
        <f t="shared" si="160"/>
        <v>43325</v>
      </c>
      <c r="O453" s="8">
        <f>DATE(2023,7,14)</f>
        <v>45121</v>
      </c>
      <c r="P453" s="1">
        <v>4280</v>
      </c>
      <c r="Q453" s="1">
        <v>3200</v>
      </c>
      <c r="R453" s="1">
        <f t="shared" si="142"/>
        <v>3200</v>
      </c>
      <c r="S453" s="1">
        <v>2.5</v>
      </c>
      <c r="U453" s="1">
        <f t="shared" si="143"/>
        <v>1797</v>
      </c>
      <c r="V453" s="7">
        <f t="shared" si="144"/>
        <v>1.7807456872565386</v>
      </c>
      <c r="W453" s="7">
        <f t="shared" si="145"/>
        <v>649.97217584863654</v>
      </c>
      <c r="X453" s="7">
        <f t="shared" si="146"/>
        <v>0.81246521981079567</v>
      </c>
      <c r="AA453" s="8">
        <f t="shared" si="147"/>
        <v>44927</v>
      </c>
      <c r="AB453" s="8">
        <f t="shared" si="148"/>
        <v>45291</v>
      </c>
      <c r="AC453" s="1">
        <v>25</v>
      </c>
      <c r="AD453" s="1">
        <f t="shared" si="149"/>
        <v>0</v>
      </c>
      <c r="AE453" s="1">
        <f t="shared" si="150"/>
        <v>0</v>
      </c>
      <c r="AF453" s="1">
        <f t="shared" si="151"/>
        <v>195</v>
      </c>
      <c r="AG453" s="1">
        <f t="shared" si="152"/>
        <v>0</v>
      </c>
      <c r="AH453" s="1">
        <f t="shared" si="153"/>
        <v>0</v>
      </c>
      <c r="AI453" s="5">
        <f t="shared" si="154"/>
        <v>0.53424657534246578</v>
      </c>
      <c r="AJ453" s="5">
        <f t="shared" si="155"/>
        <v>0.43405676126878129</v>
      </c>
      <c r="AK453" s="5">
        <f t="shared" si="156"/>
        <v>10.851419031719532</v>
      </c>
      <c r="AL453" s="5">
        <f t="shared" si="157"/>
        <v>27.128547579298829</v>
      </c>
      <c r="AM453" s="5">
        <f t="shared" si="158"/>
        <v>0</v>
      </c>
      <c r="AN453" s="5">
        <f t="shared" si="159"/>
        <v>27.128547579298829</v>
      </c>
      <c r="AO453" s="1" t="s">
        <v>102</v>
      </c>
    </row>
    <row r="454" spans="1:41" x14ac:dyDescent="0.25">
      <c r="A454" s="1" t="s">
        <v>19</v>
      </c>
      <c r="B454" s="1" t="s">
        <v>37</v>
      </c>
      <c r="C454" s="1" t="s">
        <v>21</v>
      </c>
      <c r="D454" s="1" t="s">
        <v>38</v>
      </c>
      <c r="E454" s="1" t="s">
        <v>96</v>
      </c>
      <c r="F454" s="1" t="s">
        <v>103</v>
      </c>
      <c r="G454" s="1" t="s">
        <v>98</v>
      </c>
      <c r="H454" s="1" t="s">
        <v>542</v>
      </c>
      <c r="I454" s="1" t="s">
        <v>210</v>
      </c>
      <c r="J454" s="1" t="s">
        <v>101</v>
      </c>
      <c r="L454" s="1">
        <v>2523499</v>
      </c>
      <c r="M454" s="1" t="s">
        <v>657</v>
      </c>
      <c r="N454" s="8">
        <f t="shared" si="160"/>
        <v>43325</v>
      </c>
      <c r="O454" s="8">
        <f>DATE(2023,7,14)</f>
        <v>45121</v>
      </c>
      <c r="P454" s="1">
        <v>4430</v>
      </c>
      <c r="Q454" s="1">
        <v>3600</v>
      </c>
      <c r="R454" s="1">
        <f t="shared" si="142"/>
        <v>3600</v>
      </c>
      <c r="S454" s="1">
        <v>2.5</v>
      </c>
      <c r="U454" s="1">
        <f t="shared" si="143"/>
        <v>1797</v>
      </c>
      <c r="V454" s="7">
        <f t="shared" si="144"/>
        <v>2.003338898163606</v>
      </c>
      <c r="W454" s="7">
        <f t="shared" si="145"/>
        <v>731.21869782971623</v>
      </c>
      <c r="X454" s="7">
        <f t="shared" si="146"/>
        <v>0.91402337228714525</v>
      </c>
      <c r="AA454" s="8">
        <f t="shared" si="147"/>
        <v>44927</v>
      </c>
      <c r="AB454" s="8">
        <f t="shared" si="148"/>
        <v>45291</v>
      </c>
      <c r="AC454" s="1">
        <v>15</v>
      </c>
      <c r="AD454" s="1">
        <f t="shared" si="149"/>
        <v>0</v>
      </c>
      <c r="AE454" s="1">
        <f t="shared" si="150"/>
        <v>0</v>
      </c>
      <c r="AF454" s="1">
        <f t="shared" si="151"/>
        <v>195</v>
      </c>
      <c r="AG454" s="1">
        <f t="shared" si="152"/>
        <v>0</v>
      </c>
      <c r="AH454" s="1">
        <f t="shared" si="153"/>
        <v>0</v>
      </c>
      <c r="AI454" s="5">
        <f t="shared" si="154"/>
        <v>0.53424657534246578</v>
      </c>
      <c r="AJ454" s="5">
        <f t="shared" si="155"/>
        <v>0.48831385642737901</v>
      </c>
      <c r="AK454" s="5">
        <f t="shared" si="156"/>
        <v>7.3247078464106856</v>
      </c>
      <c r="AL454" s="5">
        <f t="shared" si="157"/>
        <v>18.311769616026716</v>
      </c>
      <c r="AM454" s="5">
        <f t="shared" si="158"/>
        <v>0</v>
      </c>
      <c r="AN454" s="5">
        <f t="shared" si="159"/>
        <v>18.311769616026716</v>
      </c>
      <c r="AO454" s="1" t="s">
        <v>102</v>
      </c>
    </row>
    <row r="455" spans="1:41" x14ac:dyDescent="0.25">
      <c r="A455" s="1" t="s">
        <v>19</v>
      </c>
      <c r="B455" s="1" t="s">
        <v>37</v>
      </c>
      <c r="C455" s="1" t="s">
        <v>21</v>
      </c>
      <c r="D455" s="1" t="s">
        <v>38</v>
      </c>
      <c r="E455" s="1" t="s">
        <v>96</v>
      </c>
      <c r="F455" s="1" t="s">
        <v>103</v>
      </c>
      <c r="G455" s="1" t="s">
        <v>98</v>
      </c>
      <c r="H455" s="1" t="s">
        <v>523</v>
      </c>
      <c r="I455" s="1" t="s">
        <v>100</v>
      </c>
      <c r="J455" s="1" t="s">
        <v>101</v>
      </c>
      <c r="L455" s="1">
        <v>2523501</v>
      </c>
      <c r="M455" s="1" t="s">
        <v>658</v>
      </c>
      <c r="N455" s="8">
        <f t="shared" si="160"/>
        <v>43325</v>
      </c>
      <c r="O455" s="8">
        <f>DATE(2021,7,16)</f>
        <v>44393</v>
      </c>
      <c r="P455" s="1">
        <v>2587</v>
      </c>
      <c r="Q455" s="1">
        <v>2400</v>
      </c>
      <c r="R455" s="1">
        <f t="shared" si="142"/>
        <v>2400</v>
      </c>
      <c r="S455" s="1">
        <v>1</v>
      </c>
      <c r="U455" s="1">
        <f t="shared" si="143"/>
        <v>1069</v>
      </c>
      <c r="V455" s="7">
        <f t="shared" si="144"/>
        <v>2.2450888681010288</v>
      </c>
      <c r="W455" s="7">
        <f t="shared" si="145"/>
        <v>819.45743685687546</v>
      </c>
      <c r="X455" s="7">
        <f t="shared" si="146"/>
        <v>1.0243217960710944</v>
      </c>
      <c r="AA455" s="8">
        <f t="shared" si="147"/>
        <v>44927</v>
      </c>
      <c r="AB455" s="8">
        <f t="shared" si="148"/>
        <v>45291</v>
      </c>
      <c r="AC455" s="1">
        <v>11</v>
      </c>
      <c r="AD455" s="1">
        <f t="shared" si="149"/>
        <v>0</v>
      </c>
      <c r="AE455" s="1">
        <f t="shared" si="150"/>
        <v>0</v>
      </c>
      <c r="AF455" s="1">
        <f t="shared" si="151"/>
        <v>0</v>
      </c>
      <c r="AG455" s="1">
        <f t="shared" si="152"/>
        <v>0</v>
      </c>
      <c r="AH455" s="1">
        <f t="shared" si="153"/>
        <v>182.5</v>
      </c>
      <c r="AI455" s="5">
        <f t="shared" si="154"/>
        <v>0.5</v>
      </c>
      <c r="AJ455" s="5">
        <f t="shared" si="155"/>
        <v>0.51216089803554721</v>
      </c>
      <c r="AK455" s="5">
        <f t="shared" si="156"/>
        <v>2.8168849391955098</v>
      </c>
      <c r="AL455" s="5">
        <f t="shared" si="157"/>
        <v>2.8168849391955098</v>
      </c>
      <c r="AM455" s="5">
        <f t="shared" si="158"/>
        <v>0</v>
      </c>
      <c r="AN455" s="5">
        <f t="shared" si="159"/>
        <v>2.8168849391955098</v>
      </c>
      <c r="AO455" s="1" t="s">
        <v>102</v>
      </c>
    </row>
    <row r="456" spans="1:41" x14ac:dyDescent="0.25">
      <c r="A456" s="1" t="s">
        <v>19</v>
      </c>
      <c r="B456" s="1" t="s">
        <v>37</v>
      </c>
      <c r="C456" s="1" t="s">
        <v>21</v>
      </c>
      <c r="D456" s="1" t="s">
        <v>38</v>
      </c>
      <c r="E456" s="1" t="s">
        <v>96</v>
      </c>
      <c r="F456" s="1" t="s">
        <v>103</v>
      </c>
      <c r="G456" s="1" t="s">
        <v>98</v>
      </c>
      <c r="H456" s="1" t="s">
        <v>566</v>
      </c>
      <c r="I456" s="1" t="s">
        <v>336</v>
      </c>
      <c r="J456" s="1" t="s">
        <v>101</v>
      </c>
      <c r="L456" s="1">
        <v>2523678</v>
      </c>
      <c r="M456" s="1" t="s">
        <v>659</v>
      </c>
      <c r="N456" s="8">
        <f t="shared" si="160"/>
        <v>43325</v>
      </c>
      <c r="O456" s="8">
        <f>DATE(2021,7,16)</f>
        <v>44393</v>
      </c>
      <c r="P456" s="1">
        <v>2668</v>
      </c>
      <c r="Q456" s="1">
        <v>2400</v>
      </c>
      <c r="R456" s="1">
        <f t="shared" si="142"/>
        <v>2400</v>
      </c>
      <c r="S456" s="1">
        <v>1</v>
      </c>
      <c r="U456" s="1">
        <f t="shared" si="143"/>
        <v>1069</v>
      </c>
      <c r="V456" s="7">
        <f t="shared" si="144"/>
        <v>2.2450888681010288</v>
      </c>
      <c r="W456" s="7">
        <f t="shared" si="145"/>
        <v>819.45743685687546</v>
      </c>
      <c r="X456" s="7">
        <f t="shared" si="146"/>
        <v>1.0243217960710944</v>
      </c>
      <c r="AA456" s="8">
        <f t="shared" si="147"/>
        <v>44927</v>
      </c>
      <c r="AB456" s="8">
        <f t="shared" si="148"/>
        <v>45291</v>
      </c>
      <c r="AC456" s="1">
        <v>17</v>
      </c>
      <c r="AD456" s="1">
        <f t="shared" si="149"/>
        <v>0</v>
      </c>
      <c r="AE456" s="1">
        <f t="shared" si="150"/>
        <v>0</v>
      </c>
      <c r="AF456" s="1">
        <f t="shared" si="151"/>
        <v>0</v>
      </c>
      <c r="AG456" s="1">
        <f t="shared" si="152"/>
        <v>0</v>
      </c>
      <c r="AH456" s="1">
        <f t="shared" si="153"/>
        <v>182.5</v>
      </c>
      <c r="AI456" s="5">
        <f t="shared" si="154"/>
        <v>0.5</v>
      </c>
      <c r="AJ456" s="5">
        <f t="shared" si="155"/>
        <v>0.51216089803554721</v>
      </c>
      <c r="AK456" s="5">
        <f t="shared" si="156"/>
        <v>4.3533676333021516</v>
      </c>
      <c r="AL456" s="5">
        <f t="shared" si="157"/>
        <v>4.3533676333021516</v>
      </c>
      <c r="AM456" s="5">
        <f t="shared" si="158"/>
        <v>0</v>
      </c>
      <c r="AN456" s="5">
        <f t="shared" si="159"/>
        <v>4.3533676333021516</v>
      </c>
      <c r="AO456" s="1" t="s">
        <v>102</v>
      </c>
    </row>
    <row r="457" spans="1:41" x14ac:dyDescent="0.25">
      <c r="A457" s="1" t="s">
        <v>19</v>
      </c>
      <c r="B457" s="1" t="s">
        <v>37</v>
      </c>
      <c r="C457" s="1" t="s">
        <v>21</v>
      </c>
      <c r="D457" s="1" t="s">
        <v>38</v>
      </c>
      <c r="E457" s="1" t="s">
        <v>96</v>
      </c>
      <c r="F457" s="1" t="s">
        <v>103</v>
      </c>
      <c r="G457" s="1" t="s">
        <v>127</v>
      </c>
      <c r="H457" s="1" t="s">
        <v>520</v>
      </c>
      <c r="I457" s="1" t="s">
        <v>210</v>
      </c>
      <c r="J457" s="1" t="s">
        <v>101</v>
      </c>
      <c r="L457" s="1">
        <v>2523682</v>
      </c>
      <c r="M457" s="1" t="s">
        <v>660</v>
      </c>
      <c r="N457" s="8">
        <f t="shared" si="160"/>
        <v>43325</v>
      </c>
      <c r="O457" s="8">
        <f>DATE(2021,12,23)</f>
        <v>44553</v>
      </c>
      <c r="P457" s="1">
        <v>2406</v>
      </c>
      <c r="Q457" s="1">
        <v>2400</v>
      </c>
      <c r="R457" s="1">
        <f t="shared" si="142"/>
        <v>2400</v>
      </c>
      <c r="S457" s="1">
        <v>2.5</v>
      </c>
      <c r="U457" s="1">
        <f t="shared" si="143"/>
        <v>1229</v>
      </c>
      <c r="V457" s="7">
        <f t="shared" si="144"/>
        <v>1.9528071602929211</v>
      </c>
      <c r="W457" s="7">
        <f t="shared" si="145"/>
        <v>712.77461350691624</v>
      </c>
      <c r="X457" s="7">
        <f t="shared" si="146"/>
        <v>0.89096826688364528</v>
      </c>
      <c r="AA457" s="8">
        <f t="shared" si="147"/>
        <v>44927</v>
      </c>
      <c r="AB457" s="8">
        <f t="shared" si="148"/>
        <v>45291</v>
      </c>
      <c r="AC457" s="1">
        <v>6</v>
      </c>
      <c r="AD457" s="1">
        <f t="shared" si="149"/>
        <v>0</v>
      </c>
      <c r="AE457" s="1">
        <f t="shared" si="150"/>
        <v>0</v>
      </c>
      <c r="AF457" s="1">
        <f t="shared" si="151"/>
        <v>0</v>
      </c>
      <c r="AG457" s="1">
        <f t="shared" si="152"/>
        <v>0</v>
      </c>
      <c r="AH457" s="1">
        <f t="shared" si="153"/>
        <v>182.5</v>
      </c>
      <c r="AI457" s="5">
        <f t="shared" si="154"/>
        <v>0.5</v>
      </c>
      <c r="AJ457" s="5">
        <f t="shared" si="155"/>
        <v>0.44548413344182264</v>
      </c>
      <c r="AK457" s="5">
        <f t="shared" si="156"/>
        <v>1.3364524003254679</v>
      </c>
      <c r="AL457" s="5">
        <f t="shared" si="157"/>
        <v>3.3411310008136699</v>
      </c>
      <c r="AM457" s="5">
        <f t="shared" si="158"/>
        <v>0</v>
      </c>
      <c r="AN457" s="5">
        <f t="shared" si="159"/>
        <v>3.3411310008136699</v>
      </c>
      <c r="AO457" s="1" t="s">
        <v>102</v>
      </c>
    </row>
    <row r="458" spans="1:41" x14ac:dyDescent="0.25">
      <c r="A458" s="1" t="s">
        <v>19</v>
      </c>
      <c r="B458" s="1" t="s">
        <v>37</v>
      </c>
      <c r="C458" s="1" t="s">
        <v>21</v>
      </c>
      <c r="D458" s="1" t="s">
        <v>38</v>
      </c>
      <c r="E458" s="1" t="s">
        <v>96</v>
      </c>
      <c r="F458" s="1" t="s">
        <v>103</v>
      </c>
      <c r="G458" s="1" t="s">
        <v>127</v>
      </c>
      <c r="H458" s="1" t="s">
        <v>525</v>
      </c>
      <c r="I458" s="1" t="s">
        <v>331</v>
      </c>
      <c r="J458" s="1" t="s">
        <v>101</v>
      </c>
      <c r="L458" s="1">
        <v>2523683</v>
      </c>
      <c r="M458" s="1" t="s">
        <v>661</v>
      </c>
      <c r="N458" s="8">
        <f t="shared" si="160"/>
        <v>43325</v>
      </c>
      <c r="O458" s="8">
        <f>DATE(2021,12,23)</f>
        <v>44553</v>
      </c>
      <c r="P458" s="1">
        <v>2750</v>
      </c>
      <c r="Q458" s="1">
        <v>2400</v>
      </c>
      <c r="R458" s="1">
        <f t="shared" si="142"/>
        <v>2400</v>
      </c>
      <c r="S458" s="1">
        <v>2.5</v>
      </c>
      <c r="U458" s="1">
        <f t="shared" si="143"/>
        <v>1229</v>
      </c>
      <c r="V458" s="7">
        <f t="shared" si="144"/>
        <v>1.9528071602929211</v>
      </c>
      <c r="W458" s="7">
        <f t="shared" si="145"/>
        <v>712.77461350691624</v>
      </c>
      <c r="X458" s="7">
        <f t="shared" si="146"/>
        <v>0.89096826688364528</v>
      </c>
      <c r="AA458" s="8">
        <f t="shared" si="147"/>
        <v>44927</v>
      </c>
      <c r="AB458" s="8">
        <f t="shared" si="148"/>
        <v>45291</v>
      </c>
      <c r="AC458" s="1">
        <v>3</v>
      </c>
      <c r="AD458" s="1">
        <f t="shared" si="149"/>
        <v>0</v>
      </c>
      <c r="AE458" s="1">
        <f t="shared" si="150"/>
        <v>0</v>
      </c>
      <c r="AF458" s="1">
        <f t="shared" si="151"/>
        <v>0</v>
      </c>
      <c r="AG458" s="1">
        <f t="shared" si="152"/>
        <v>0</v>
      </c>
      <c r="AH458" s="1">
        <f t="shared" si="153"/>
        <v>182.5</v>
      </c>
      <c r="AI458" s="5">
        <f t="shared" si="154"/>
        <v>0.5</v>
      </c>
      <c r="AJ458" s="5">
        <f t="shared" si="155"/>
        <v>0.44548413344182264</v>
      </c>
      <c r="AK458" s="5">
        <f t="shared" si="156"/>
        <v>0.66822620016273393</v>
      </c>
      <c r="AL458" s="5">
        <f t="shared" si="157"/>
        <v>1.6705655004068349</v>
      </c>
      <c r="AM458" s="5">
        <f t="shared" si="158"/>
        <v>0</v>
      </c>
      <c r="AN458" s="5">
        <f t="shared" si="159"/>
        <v>1.6705655004068349</v>
      </c>
      <c r="AO458" s="1" t="s">
        <v>102</v>
      </c>
    </row>
    <row r="459" spans="1:41" x14ac:dyDescent="0.25">
      <c r="A459" s="1" t="s">
        <v>19</v>
      </c>
      <c r="B459" s="1" t="s">
        <v>37</v>
      </c>
      <c r="C459" s="1" t="s">
        <v>21</v>
      </c>
      <c r="D459" s="1" t="s">
        <v>38</v>
      </c>
      <c r="E459" s="1" t="s">
        <v>96</v>
      </c>
      <c r="F459" s="1" t="s">
        <v>103</v>
      </c>
      <c r="G459" s="1" t="s">
        <v>127</v>
      </c>
      <c r="H459" s="1" t="s">
        <v>555</v>
      </c>
      <c r="I459" s="1" t="s">
        <v>331</v>
      </c>
      <c r="J459" s="1" t="s">
        <v>101</v>
      </c>
      <c r="L459" s="1">
        <v>2523693</v>
      </c>
      <c r="M459" s="1" t="s">
        <v>662</v>
      </c>
      <c r="N459" s="8">
        <f t="shared" si="160"/>
        <v>43325</v>
      </c>
      <c r="O459" s="8">
        <f>DATE(2021,12,23)</f>
        <v>44553</v>
      </c>
      <c r="P459" s="1">
        <v>2642</v>
      </c>
      <c r="Q459" s="1">
        <v>2400</v>
      </c>
      <c r="R459" s="1">
        <f t="shared" si="142"/>
        <v>2400</v>
      </c>
      <c r="S459" s="1">
        <v>2.5</v>
      </c>
      <c r="U459" s="1">
        <f t="shared" si="143"/>
        <v>1229</v>
      </c>
      <c r="V459" s="7">
        <f t="shared" si="144"/>
        <v>1.9528071602929211</v>
      </c>
      <c r="W459" s="7">
        <f t="shared" si="145"/>
        <v>712.77461350691624</v>
      </c>
      <c r="X459" s="7">
        <f t="shared" si="146"/>
        <v>0.89096826688364528</v>
      </c>
      <c r="AA459" s="8">
        <f t="shared" si="147"/>
        <v>44927</v>
      </c>
      <c r="AB459" s="8">
        <f t="shared" si="148"/>
        <v>45291</v>
      </c>
      <c r="AC459" s="1">
        <v>17</v>
      </c>
      <c r="AD459" s="1">
        <f t="shared" si="149"/>
        <v>0</v>
      </c>
      <c r="AE459" s="1">
        <f t="shared" si="150"/>
        <v>0</v>
      </c>
      <c r="AF459" s="1">
        <f t="shared" si="151"/>
        <v>0</v>
      </c>
      <c r="AG459" s="1">
        <f t="shared" si="152"/>
        <v>0</v>
      </c>
      <c r="AH459" s="1">
        <f t="shared" si="153"/>
        <v>182.5</v>
      </c>
      <c r="AI459" s="5">
        <f t="shared" si="154"/>
        <v>0.5</v>
      </c>
      <c r="AJ459" s="5">
        <f t="shared" si="155"/>
        <v>0.44548413344182264</v>
      </c>
      <c r="AK459" s="5">
        <f t="shared" si="156"/>
        <v>3.7866151342554923</v>
      </c>
      <c r="AL459" s="5">
        <f t="shared" si="157"/>
        <v>9.4665378356387304</v>
      </c>
      <c r="AM459" s="5">
        <f t="shared" si="158"/>
        <v>0</v>
      </c>
      <c r="AN459" s="5">
        <f t="shared" si="159"/>
        <v>9.4665378356387304</v>
      </c>
      <c r="AO459" s="1" t="s">
        <v>102</v>
      </c>
    </row>
    <row r="460" spans="1:41" x14ac:dyDescent="0.25">
      <c r="A460" s="1" t="s">
        <v>19</v>
      </c>
      <c r="B460" s="1" t="s">
        <v>37</v>
      </c>
      <c r="C460" s="1" t="s">
        <v>21</v>
      </c>
      <c r="D460" s="1" t="s">
        <v>38</v>
      </c>
      <c r="E460" s="1" t="s">
        <v>172</v>
      </c>
      <c r="F460" s="1" t="s">
        <v>534</v>
      </c>
      <c r="G460" s="1" t="s">
        <v>320</v>
      </c>
      <c r="H460" s="1" t="s">
        <v>663</v>
      </c>
      <c r="I460" s="1" t="s">
        <v>174</v>
      </c>
      <c r="J460" s="1" t="s">
        <v>101</v>
      </c>
      <c r="L460" s="1">
        <v>2542968</v>
      </c>
      <c r="M460" s="1" t="s">
        <v>664</v>
      </c>
      <c r="N460" s="8">
        <f>DATE(2018,10,20)</f>
        <v>43393</v>
      </c>
      <c r="O460" s="8">
        <f>DATE(2022,9,17)</f>
        <v>44821</v>
      </c>
      <c r="P460" s="1">
        <v>3960</v>
      </c>
      <c r="Q460" s="1">
        <v>3200</v>
      </c>
      <c r="R460" s="1">
        <f t="shared" si="142"/>
        <v>3200</v>
      </c>
      <c r="S460" s="1">
        <v>2.5</v>
      </c>
      <c r="U460" s="1">
        <f t="shared" si="143"/>
        <v>1429</v>
      </c>
      <c r="V460" s="7">
        <f t="shared" si="144"/>
        <v>2.2393282015395379</v>
      </c>
      <c r="W460" s="7">
        <f t="shared" si="145"/>
        <v>817.35479356193139</v>
      </c>
      <c r="X460" s="7">
        <f t="shared" si="146"/>
        <v>1.0216934919524143</v>
      </c>
      <c r="AA460" s="8">
        <f t="shared" si="147"/>
        <v>44927</v>
      </c>
      <c r="AB460" s="8">
        <f t="shared" si="148"/>
        <v>45291</v>
      </c>
      <c r="AC460" s="1">
        <v>238</v>
      </c>
      <c r="AD460" s="1">
        <f t="shared" si="149"/>
        <v>0</v>
      </c>
      <c r="AE460" s="1">
        <f t="shared" si="150"/>
        <v>0</v>
      </c>
      <c r="AF460" s="1">
        <f t="shared" si="151"/>
        <v>0</v>
      </c>
      <c r="AG460" s="1">
        <f t="shared" si="152"/>
        <v>0</v>
      </c>
      <c r="AH460" s="1">
        <f t="shared" si="153"/>
        <v>182.5</v>
      </c>
      <c r="AI460" s="5">
        <f t="shared" si="154"/>
        <v>0.5</v>
      </c>
      <c r="AJ460" s="5">
        <f t="shared" si="155"/>
        <v>0.51084674597620716</v>
      </c>
      <c r="AK460" s="5">
        <f t="shared" si="156"/>
        <v>60.790762771168652</v>
      </c>
      <c r="AL460" s="5">
        <f t="shared" si="157"/>
        <v>151.97690692792162</v>
      </c>
      <c r="AM460" s="5">
        <f t="shared" si="158"/>
        <v>0</v>
      </c>
      <c r="AN460" s="5">
        <f t="shared" si="159"/>
        <v>151.97690692792162</v>
      </c>
      <c r="AO460" s="1" t="s">
        <v>111</v>
      </c>
    </row>
    <row r="461" spans="1:41" x14ac:dyDescent="0.25">
      <c r="A461" s="1" t="s">
        <v>19</v>
      </c>
      <c r="B461" s="1" t="s">
        <v>37</v>
      </c>
      <c r="C461" s="1" t="s">
        <v>21</v>
      </c>
      <c r="D461" s="1" t="s">
        <v>38</v>
      </c>
      <c r="E461" s="1" t="s">
        <v>96</v>
      </c>
      <c r="F461" s="1" t="s">
        <v>103</v>
      </c>
      <c r="G461" s="1" t="s">
        <v>114</v>
      </c>
      <c r="H461" s="1" t="s">
        <v>574</v>
      </c>
      <c r="I461" s="1" t="s">
        <v>331</v>
      </c>
      <c r="J461" s="1" t="s">
        <v>101</v>
      </c>
      <c r="K461" s="1" t="s">
        <v>116</v>
      </c>
      <c r="L461" s="1">
        <v>2575516</v>
      </c>
      <c r="M461" s="1" t="s">
        <v>665</v>
      </c>
      <c r="N461" s="8">
        <f t="shared" ref="N461:N481" si="161">DATE(2019,2,4)</f>
        <v>43500</v>
      </c>
      <c r="O461" s="8">
        <f>DATE(2022,12,23)</f>
        <v>44918</v>
      </c>
      <c r="P461" s="1">
        <v>3826</v>
      </c>
      <c r="Q461" s="1">
        <v>1200</v>
      </c>
      <c r="R461" s="1">
        <f t="shared" si="142"/>
        <v>3200</v>
      </c>
      <c r="S461" s="1">
        <v>2.5</v>
      </c>
      <c r="U461" s="1">
        <f t="shared" si="143"/>
        <v>1419</v>
      </c>
      <c r="V461" s="7">
        <f t="shared" si="144"/>
        <v>2.2551092318534178</v>
      </c>
      <c r="W461" s="7">
        <f t="shared" si="145"/>
        <v>823.11486962649747</v>
      </c>
      <c r="X461" s="7">
        <f t="shared" si="146"/>
        <v>1.0288935870331217</v>
      </c>
      <c r="AA461" s="8">
        <f t="shared" si="147"/>
        <v>44927</v>
      </c>
      <c r="AB461" s="8">
        <f t="shared" si="148"/>
        <v>45291</v>
      </c>
      <c r="AC461" s="1">
        <v>17</v>
      </c>
      <c r="AD461" s="1">
        <f t="shared" si="149"/>
        <v>0</v>
      </c>
      <c r="AE461" s="1">
        <f t="shared" si="150"/>
        <v>0</v>
      </c>
      <c r="AF461" s="1">
        <f t="shared" si="151"/>
        <v>0</v>
      </c>
      <c r="AG461" s="1">
        <f t="shared" si="152"/>
        <v>0</v>
      </c>
      <c r="AH461" s="1">
        <f t="shared" si="153"/>
        <v>182.5</v>
      </c>
      <c r="AI461" s="5">
        <f t="shared" si="154"/>
        <v>0.5</v>
      </c>
      <c r="AJ461" s="5">
        <f t="shared" si="155"/>
        <v>0.51444679351656086</v>
      </c>
      <c r="AK461" s="5">
        <f t="shared" si="156"/>
        <v>4.3727977448907671</v>
      </c>
      <c r="AL461" s="5">
        <f t="shared" si="157"/>
        <v>10.931994362226918</v>
      </c>
      <c r="AM461" s="5">
        <f t="shared" si="158"/>
        <v>0</v>
      </c>
      <c r="AN461" s="5">
        <f t="shared" si="159"/>
        <v>10.931994362226918</v>
      </c>
      <c r="AO461" s="1" t="s">
        <v>102</v>
      </c>
    </row>
    <row r="462" spans="1:41" x14ac:dyDescent="0.25">
      <c r="A462" s="1" t="s">
        <v>19</v>
      </c>
      <c r="B462" s="1" t="s">
        <v>37</v>
      </c>
      <c r="C462" s="1" t="s">
        <v>21</v>
      </c>
      <c r="D462" s="1" t="s">
        <v>38</v>
      </c>
      <c r="E462" s="1" t="s">
        <v>96</v>
      </c>
      <c r="F462" s="1" t="s">
        <v>103</v>
      </c>
      <c r="G462" s="1" t="s">
        <v>114</v>
      </c>
      <c r="H462" s="1" t="s">
        <v>569</v>
      </c>
      <c r="I462" s="1" t="s">
        <v>331</v>
      </c>
      <c r="J462" s="1" t="s">
        <v>101</v>
      </c>
      <c r="K462" s="1" t="s">
        <v>116</v>
      </c>
      <c r="L462" s="1">
        <v>2575518</v>
      </c>
      <c r="M462" s="1" t="s">
        <v>666</v>
      </c>
      <c r="N462" s="8">
        <f t="shared" si="161"/>
        <v>43500</v>
      </c>
      <c r="O462" s="8">
        <f>DATE(2022,12,23)</f>
        <v>44918</v>
      </c>
      <c r="P462" s="1">
        <v>3826</v>
      </c>
      <c r="Q462" s="1">
        <v>1200</v>
      </c>
      <c r="R462" s="1">
        <f t="shared" si="142"/>
        <v>3200</v>
      </c>
      <c r="S462" s="1">
        <v>2.5</v>
      </c>
      <c r="U462" s="1">
        <f t="shared" si="143"/>
        <v>1419</v>
      </c>
      <c r="V462" s="7">
        <f t="shared" si="144"/>
        <v>2.2551092318534178</v>
      </c>
      <c r="W462" s="7">
        <f t="shared" si="145"/>
        <v>823.11486962649747</v>
      </c>
      <c r="X462" s="7">
        <f t="shared" si="146"/>
        <v>1.0288935870331217</v>
      </c>
      <c r="AA462" s="8">
        <f t="shared" si="147"/>
        <v>44927</v>
      </c>
      <c r="AB462" s="8">
        <f t="shared" si="148"/>
        <v>45291</v>
      </c>
      <c r="AC462" s="1">
        <v>9</v>
      </c>
      <c r="AD462" s="1">
        <f t="shared" si="149"/>
        <v>0</v>
      </c>
      <c r="AE462" s="1">
        <f t="shared" si="150"/>
        <v>0</v>
      </c>
      <c r="AF462" s="1">
        <f t="shared" si="151"/>
        <v>0</v>
      </c>
      <c r="AG462" s="1">
        <f t="shared" si="152"/>
        <v>0</v>
      </c>
      <c r="AH462" s="1">
        <f t="shared" si="153"/>
        <v>182.5</v>
      </c>
      <c r="AI462" s="5">
        <f t="shared" si="154"/>
        <v>0.5</v>
      </c>
      <c r="AJ462" s="5">
        <f t="shared" si="155"/>
        <v>0.51444679351656086</v>
      </c>
      <c r="AK462" s="5">
        <f t="shared" si="156"/>
        <v>2.3150105708245237</v>
      </c>
      <c r="AL462" s="5">
        <f t="shared" si="157"/>
        <v>5.7875264270613087</v>
      </c>
      <c r="AM462" s="5">
        <f t="shared" si="158"/>
        <v>0</v>
      </c>
      <c r="AN462" s="5">
        <f t="shared" si="159"/>
        <v>5.7875264270613087</v>
      </c>
      <c r="AO462" s="1" t="s">
        <v>102</v>
      </c>
    </row>
    <row r="463" spans="1:41" x14ac:dyDescent="0.25">
      <c r="A463" s="1" t="s">
        <v>19</v>
      </c>
      <c r="B463" s="1" t="s">
        <v>37</v>
      </c>
      <c r="C463" s="1" t="s">
        <v>21</v>
      </c>
      <c r="D463" s="1" t="s">
        <v>38</v>
      </c>
      <c r="E463" s="1" t="s">
        <v>96</v>
      </c>
      <c r="F463" s="1" t="s">
        <v>103</v>
      </c>
      <c r="G463" s="1" t="s">
        <v>114</v>
      </c>
      <c r="H463" s="1" t="s">
        <v>604</v>
      </c>
      <c r="I463" s="1" t="s">
        <v>210</v>
      </c>
      <c r="J463" s="1" t="s">
        <v>101</v>
      </c>
      <c r="K463" s="1" t="s">
        <v>116</v>
      </c>
      <c r="L463" s="1">
        <v>2575520</v>
      </c>
      <c r="M463" s="1" t="s">
        <v>667</v>
      </c>
      <c r="N463" s="8">
        <f t="shared" si="161"/>
        <v>43500</v>
      </c>
      <c r="O463" s="8">
        <f>DATE(2021,12,23)</f>
        <v>44553</v>
      </c>
      <c r="P463" s="1">
        <v>3672</v>
      </c>
      <c r="Q463" s="1">
        <v>1200</v>
      </c>
      <c r="R463" s="1">
        <f t="shared" si="142"/>
        <v>3200</v>
      </c>
      <c r="S463" s="1">
        <v>2.5</v>
      </c>
      <c r="U463" s="1">
        <f t="shared" si="143"/>
        <v>1054</v>
      </c>
      <c r="V463" s="7">
        <f t="shared" si="144"/>
        <v>3.0360531309297913</v>
      </c>
      <c r="W463" s="7">
        <f t="shared" si="145"/>
        <v>1108.1593927893739</v>
      </c>
      <c r="X463" s="7">
        <f t="shared" si="146"/>
        <v>1.3851992409867173</v>
      </c>
      <c r="AA463" s="8">
        <f t="shared" si="147"/>
        <v>44927</v>
      </c>
      <c r="AB463" s="8">
        <f t="shared" si="148"/>
        <v>45291</v>
      </c>
      <c r="AC463" s="1">
        <v>6</v>
      </c>
      <c r="AD463" s="1">
        <f t="shared" si="149"/>
        <v>0</v>
      </c>
      <c r="AE463" s="1">
        <f t="shared" si="150"/>
        <v>0</v>
      </c>
      <c r="AF463" s="1">
        <f t="shared" si="151"/>
        <v>0</v>
      </c>
      <c r="AG463" s="1">
        <f t="shared" si="152"/>
        <v>0</v>
      </c>
      <c r="AH463" s="1">
        <f t="shared" si="153"/>
        <v>182.5</v>
      </c>
      <c r="AI463" s="5">
        <f t="shared" si="154"/>
        <v>0.5</v>
      </c>
      <c r="AJ463" s="5">
        <f t="shared" si="155"/>
        <v>0.69259962049335866</v>
      </c>
      <c r="AK463" s="5">
        <f t="shared" si="156"/>
        <v>2.0777988614800762</v>
      </c>
      <c r="AL463" s="5">
        <f t="shared" si="157"/>
        <v>5.1944971537001905</v>
      </c>
      <c r="AM463" s="5">
        <f t="shared" si="158"/>
        <v>0</v>
      </c>
      <c r="AN463" s="5">
        <f t="shared" si="159"/>
        <v>5.1944971537001905</v>
      </c>
      <c r="AO463" s="1" t="s">
        <v>102</v>
      </c>
    </row>
    <row r="464" spans="1:41" x14ac:dyDescent="0.25">
      <c r="A464" s="1" t="s">
        <v>19</v>
      </c>
      <c r="B464" s="1" t="s">
        <v>37</v>
      </c>
      <c r="C464" s="1" t="s">
        <v>21</v>
      </c>
      <c r="D464" s="1" t="s">
        <v>38</v>
      </c>
      <c r="E464" s="1" t="s">
        <v>96</v>
      </c>
      <c r="F464" s="1" t="s">
        <v>103</v>
      </c>
      <c r="G464" s="1" t="s">
        <v>114</v>
      </c>
      <c r="H464" s="1" t="s">
        <v>577</v>
      </c>
      <c r="I464" s="1" t="s">
        <v>336</v>
      </c>
      <c r="J464" s="1" t="s">
        <v>101</v>
      </c>
      <c r="K464" s="1" t="s">
        <v>116</v>
      </c>
      <c r="L464" s="1">
        <v>2575522</v>
      </c>
      <c r="M464" s="1" t="s">
        <v>668</v>
      </c>
      <c r="N464" s="8">
        <f t="shared" si="161"/>
        <v>43500</v>
      </c>
      <c r="O464" s="8">
        <f>DATE(2021,12,23)</f>
        <v>44553</v>
      </c>
      <c r="P464" s="1">
        <v>3306</v>
      </c>
      <c r="Q464" s="1">
        <v>800</v>
      </c>
      <c r="R464" s="1">
        <f t="shared" si="142"/>
        <v>3000</v>
      </c>
      <c r="S464" s="1">
        <v>1.5</v>
      </c>
      <c r="U464" s="1">
        <f t="shared" si="143"/>
        <v>1054</v>
      </c>
      <c r="V464" s="7">
        <f t="shared" si="144"/>
        <v>2.8462998102466792</v>
      </c>
      <c r="W464" s="7">
        <f t="shared" si="145"/>
        <v>1038.8994307400378</v>
      </c>
      <c r="X464" s="7">
        <f t="shared" si="146"/>
        <v>1.2986242884250472</v>
      </c>
      <c r="AA464" s="8">
        <f t="shared" si="147"/>
        <v>44927</v>
      </c>
      <c r="AB464" s="8">
        <f t="shared" si="148"/>
        <v>45291</v>
      </c>
      <c r="AC464" s="1">
        <v>5</v>
      </c>
      <c r="AD464" s="1">
        <f t="shared" si="149"/>
        <v>0</v>
      </c>
      <c r="AE464" s="1">
        <f t="shared" si="150"/>
        <v>0</v>
      </c>
      <c r="AF464" s="1">
        <f t="shared" si="151"/>
        <v>0</v>
      </c>
      <c r="AG464" s="1">
        <f t="shared" si="152"/>
        <v>0</v>
      </c>
      <c r="AH464" s="1">
        <f t="shared" si="153"/>
        <v>182.5</v>
      </c>
      <c r="AI464" s="5">
        <f t="shared" si="154"/>
        <v>0.5</v>
      </c>
      <c r="AJ464" s="5">
        <f t="shared" si="155"/>
        <v>0.64931214421252359</v>
      </c>
      <c r="AK464" s="5">
        <f t="shared" si="156"/>
        <v>1.6232803605313091</v>
      </c>
      <c r="AL464" s="5">
        <f t="shared" si="157"/>
        <v>2.4349205407969636</v>
      </c>
      <c r="AM464" s="5">
        <f t="shared" si="158"/>
        <v>0</v>
      </c>
      <c r="AN464" s="5">
        <f t="shared" si="159"/>
        <v>2.4349205407969636</v>
      </c>
      <c r="AO464" s="1" t="s">
        <v>102</v>
      </c>
    </row>
    <row r="465" spans="1:41" x14ac:dyDescent="0.25">
      <c r="A465" s="1" t="s">
        <v>19</v>
      </c>
      <c r="B465" s="1" t="s">
        <v>37</v>
      </c>
      <c r="C465" s="1" t="s">
        <v>21</v>
      </c>
      <c r="D465" s="1" t="s">
        <v>38</v>
      </c>
      <c r="E465" s="1" t="s">
        <v>96</v>
      </c>
      <c r="F465" s="1" t="s">
        <v>103</v>
      </c>
      <c r="G465" s="1" t="s">
        <v>114</v>
      </c>
      <c r="H465" s="1" t="s">
        <v>247</v>
      </c>
      <c r="I465" s="1" t="s">
        <v>162</v>
      </c>
      <c r="J465" s="1" t="s">
        <v>101</v>
      </c>
      <c r="K465" s="1" t="s">
        <v>116</v>
      </c>
      <c r="L465" s="1">
        <v>2575524</v>
      </c>
      <c r="M465" s="1" t="s">
        <v>669</v>
      </c>
      <c r="N465" s="8">
        <f t="shared" si="161"/>
        <v>43500</v>
      </c>
      <c r="O465" s="8">
        <f>DATE(2021,12,23)</f>
        <v>44553</v>
      </c>
      <c r="P465" s="1">
        <v>3740</v>
      </c>
      <c r="Q465" s="1">
        <v>1200</v>
      </c>
      <c r="R465" s="1">
        <f t="shared" si="142"/>
        <v>3200</v>
      </c>
      <c r="S465" s="1">
        <v>1.5</v>
      </c>
      <c r="U465" s="1">
        <f t="shared" si="143"/>
        <v>1054</v>
      </c>
      <c r="V465" s="7">
        <f t="shared" si="144"/>
        <v>3.0360531309297913</v>
      </c>
      <c r="W465" s="7">
        <f t="shared" si="145"/>
        <v>1108.1593927893739</v>
      </c>
      <c r="X465" s="7">
        <f t="shared" si="146"/>
        <v>1.3851992409867173</v>
      </c>
      <c r="AA465" s="8">
        <f t="shared" si="147"/>
        <v>44927</v>
      </c>
      <c r="AB465" s="8">
        <f t="shared" si="148"/>
        <v>45291</v>
      </c>
      <c r="AC465" s="1">
        <v>3</v>
      </c>
      <c r="AD465" s="1">
        <f t="shared" si="149"/>
        <v>0</v>
      </c>
      <c r="AE465" s="1">
        <f t="shared" si="150"/>
        <v>0</v>
      </c>
      <c r="AF465" s="1">
        <f t="shared" si="151"/>
        <v>0</v>
      </c>
      <c r="AG465" s="1">
        <f t="shared" si="152"/>
        <v>0</v>
      </c>
      <c r="AH465" s="1">
        <f t="shared" si="153"/>
        <v>182.5</v>
      </c>
      <c r="AI465" s="5">
        <f t="shared" si="154"/>
        <v>0.5</v>
      </c>
      <c r="AJ465" s="5">
        <f t="shared" si="155"/>
        <v>0.69259962049335866</v>
      </c>
      <c r="AK465" s="5">
        <f t="shared" si="156"/>
        <v>1.0388994307400381</v>
      </c>
      <c r="AL465" s="5">
        <f t="shared" si="157"/>
        <v>1.5583491461100571</v>
      </c>
      <c r="AM465" s="5">
        <f t="shared" si="158"/>
        <v>0</v>
      </c>
      <c r="AN465" s="5">
        <f t="shared" si="159"/>
        <v>1.5583491461100571</v>
      </c>
      <c r="AO465" s="1" t="s">
        <v>102</v>
      </c>
    </row>
    <row r="466" spans="1:41" x14ac:dyDescent="0.25">
      <c r="A466" s="1" t="s">
        <v>19</v>
      </c>
      <c r="B466" s="1" t="s">
        <v>37</v>
      </c>
      <c r="C466" s="1" t="s">
        <v>21</v>
      </c>
      <c r="D466" s="1" t="s">
        <v>38</v>
      </c>
      <c r="E466" s="1" t="s">
        <v>96</v>
      </c>
      <c r="F466" s="1" t="s">
        <v>103</v>
      </c>
      <c r="G466" s="1" t="s">
        <v>114</v>
      </c>
      <c r="H466" s="1" t="s">
        <v>260</v>
      </c>
      <c r="I466" s="1" t="s">
        <v>100</v>
      </c>
      <c r="J466" s="1" t="s">
        <v>101</v>
      </c>
      <c r="K466" s="1" t="s">
        <v>116</v>
      </c>
      <c r="L466" s="1">
        <v>2575525</v>
      </c>
      <c r="M466" s="1" t="s">
        <v>670</v>
      </c>
      <c r="N466" s="8">
        <f t="shared" si="161"/>
        <v>43500</v>
      </c>
      <c r="O466" s="8">
        <f>DATE(2021,12,23)</f>
        <v>44553</v>
      </c>
      <c r="P466" s="1">
        <v>3573</v>
      </c>
      <c r="Q466" s="1">
        <v>800</v>
      </c>
      <c r="R466" s="1">
        <f t="shared" si="142"/>
        <v>3000</v>
      </c>
      <c r="S466" s="1">
        <v>1.5</v>
      </c>
      <c r="U466" s="1">
        <f t="shared" si="143"/>
        <v>1054</v>
      </c>
      <c r="V466" s="7">
        <f t="shared" si="144"/>
        <v>2.8462998102466792</v>
      </c>
      <c r="W466" s="7">
        <f t="shared" si="145"/>
        <v>1038.8994307400378</v>
      </c>
      <c r="X466" s="7">
        <f t="shared" si="146"/>
        <v>1.2986242884250472</v>
      </c>
      <c r="AA466" s="8">
        <f t="shared" si="147"/>
        <v>44927</v>
      </c>
      <c r="AB466" s="8">
        <f t="shared" si="148"/>
        <v>45291</v>
      </c>
      <c r="AC466" s="1">
        <v>1</v>
      </c>
      <c r="AD466" s="1">
        <f t="shared" si="149"/>
        <v>0</v>
      </c>
      <c r="AE466" s="1">
        <f t="shared" si="150"/>
        <v>0</v>
      </c>
      <c r="AF466" s="1">
        <f t="shared" si="151"/>
        <v>0</v>
      </c>
      <c r="AG466" s="1">
        <f t="shared" si="152"/>
        <v>0</v>
      </c>
      <c r="AH466" s="1">
        <f t="shared" si="153"/>
        <v>182.5</v>
      </c>
      <c r="AI466" s="5">
        <f t="shared" si="154"/>
        <v>0.5</v>
      </c>
      <c r="AJ466" s="5">
        <f t="shared" si="155"/>
        <v>0.64931214421252359</v>
      </c>
      <c r="AK466" s="5">
        <f t="shared" si="156"/>
        <v>0.32465607210626179</v>
      </c>
      <c r="AL466" s="5">
        <f t="shared" si="157"/>
        <v>0.48698410815939269</v>
      </c>
      <c r="AM466" s="5">
        <f t="shared" si="158"/>
        <v>0</v>
      </c>
      <c r="AN466" s="5">
        <f t="shared" si="159"/>
        <v>0.48698410815939269</v>
      </c>
      <c r="AO466" s="1" t="s">
        <v>102</v>
      </c>
    </row>
    <row r="467" spans="1:41" x14ac:dyDescent="0.25">
      <c r="A467" s="1" t="s">
        <v>19</v>
      </c>
      <c r="B467" s="1" t="s">
        <v>37</v>
      </c>
      <c r="C467" s="1" t="s">
        <v>21</v>
      </c>
      <c r="D467" s="1" t="s">
        <v>38</v>
      </c>
      <c r="E467" s="1" t="s">
        <v>96</v>
      </c>
      <c r="F467" s="1" t="s">
        <v>103</v>
      </c>
      <c r="G467" s="1" t="s">
        <v>114</v>
      </c>
      <c r="H467" s="1" t="s">
        <v>574</v>
      </c>
      <c r="I467" s="1" t="s">
        <v>331</v>
      </c>
      <c r="J467" s="1" t="s">
        <v>101</v>
      </c>
      <c r="K467" s="1" t="s">
        <v>175</v>
      </c>
      <c r="L467" s="1">
        <v>2575583</v>
      </c>
      <c r="M467" s="1" t="s">
        <v>671</v>
      </c>
      <c r="N467" s="8">
        <f t="shared" si="161"/>
        <v>43500</v>
      </c>
      <c r="O467" s="8">
        <f>DATE(2020,12,23)</f>
        <v>44188</v>
      </c>
      <c r="P467" s="1">
        <v>1258</v>
      </c>
      <c r="Q467" s="1">
        <v>1200</v>
      </c>
      <c r="R467" s="1">
        <f t="shared" si="142"/>
        <v>1200</v>
      </c>
      <c r="S467" s="1">
        <v>2.5</v>
      </c>
      <c r="U467" s="1">
        <f t="shared" si="143"/>
        <v>689</v>
      </c>
      <c r="V467" s="7">
        <f t="shared" si="144"/>
        <v>1.741654571843251</v>
      </c>
      <c r="W467" s="7">
        <f t="shared" si="145"/>
        <v>635.70391872278663</v>
      </c>
      <c r="X467" s="7">
        <f t="shared" si="146"/>
        <v>0.7946298984034833</v>
      </c>
      <c r="AA467" s="8">
        <f t="shared" si="147"/>
        <v>44927</v>
      </c>
      <c r="AB467" s="8">
        <f t="shared" si="148"/>
        <v>45291</v>
      </c>
      <c r="AC467" s="1">
        <v>10</v>
      </c>
      <c r="AD467" s="1">
        <f t="shared" si="149"/>
        <v>0</v>
      </c>
      <c r="AE467" s="1">
        <f t="shared" si="150"/>
        <v>0</v>
      </c>
      <c r="AF467" s="1">
        <f t="shared" si="151"/>
        <v>0</v>
      </c>
      <c r="AG467" s="1">
        <f t="shared" si="152"/>
        <v>0</v>
      </c>
      <c r="AH467" s="1">
        <f t="shared" si="153"/>
        <v>182.5</v>
      </c>
      <c r="AI467" s="5">
        <f t="shared" si="154"/>
        <v>0.5</v>
      </c>
      <c r="AJ467" s="5">
        <f t="shared" si="155"/>
        <v>0.39731494920174165</v>
      </c>
      <c r="AK467" s="5">
        <f t="shared" si="156"/>
        <v>1.9865747460087082</v>
      </c>
      <c r="AL467" s="5">
        <f t="shared" si="157"/>
        <v>4.9664368650217705</v>
      </c>
      <c r="AM467" s="5">
        <f t="shared" si="158"/>
        <v>0</v>
      </c>
      <c r="AN467" s="5">
        <f t="shared" si="159"/>
        <v>4.9664368650217705</v>
      </c>
      <c r="AO467" s="1" t="s">
        <v>102</v>
      </c>
    </row>
    <row r="468" spans="1:41" x14ac:dyDescent="0.25">
      <c r="A468" s="1" t="s">
        <v>19</v>
      </c>
      <c r="B468" s="1" t="s">
        <v>37</v>
      </c>
      <c r="C468" s="1" t="s">
        <v>21</v>
      </c>
      <c r="D468" s="1" t="s">
        <v>38</v>
      </c>
      <c r="E468" s="1" t="s">
        <v>96</v>
      </c>
      <c r="F468" s="1" t="s">
        <v>103</v>
      </c>
      <c r="G468" s="1" t="s">
        <v>114</v>
      </c>
      <c r="H468" s="1" t="s">
        <v>569</v>
      </c>
      <c r="I468" s="1" t="s">
        <v>331</v>
      </c>
      <c r="J468" s="1" t="s">
        <v>101</v>
      </c>
      <c r="K468" s="1" t="s">
        <v>175</v>
      </c>
      <c r="L468" s="1">
        <v>2575586</v>
      </c>
      <c r="M468" s="1" t="s">
        <v>672</v>
      </c>
      <c r="N468" s="8">
        <f t="shared" si="161"/>
        <v>43500</v>
      </c>
      <c r="O468" s="8">
        <f>DATE(2020,12,23)</f>
        <v>44188</v>
      </c>
      <c r="P468" s="1">
        <v>1360</v>
      </c>
      <c r="Q468" s="1">
        <v>1200</v>
      </c>
      <c r="R468" s="1">
        <f t="shared" si="142"/>
        <v>1200</v>
      </c>
      <c r="S468" s="1">
        <v>2.5</v>
      </c>
      <c r="U468" s="1">
        <f t="shared" si="143"/>
        <v>689</v>
      </c>
      <c r="V468" s="7">
        <f t="shared" si="144"/>
        <v>1.741654571843251</v>
      </c>
      <c r="W468" s="7">
        <f t="shared" si="145"/>
        <v>635.70391872278663</v>
      </c>
      <c r="X468" s="7">
        <f t="shared" si="146"/>
        <v>0.7946298984034833</v>
      </c>
      <c r="AA468" s="8">
        <f t="shared" si="147"/>
        <v>44927</v>
      </c>
      <c r="AB468" s="8">
        <f t="shared" si="148"/>
        <v>45291</v>
      </c>
      <c r="AC468" s="1">
        <v>10</v>
      </c>
      <c r="AD468" s="1">
        <f t="shared" si="149"/>
        <v>0</v>
      </c>
      <c r="AE468" s="1">
        <f t="shared" si="150"/>
        <v>0</v>
      </c>
      <c r="AF468" s="1">
        <f t="shared" si="151"/>
        <v>0</v>
      </c>
      <c r="AG468" s="1">
        <f t="shared" si="152"/>
        <v>0</v>
      </c>
      <c r="AH468" s="1">
        <f t="shared" si="153"/>
        <v>182.5</v>
      </c>
      <c r="AI468" s="5">
        <f t="shared" si="154"/>
        <v>0.5</v>
      </c>
      <c r="AJ468" s="5">
        <f t="shared" si="155"/>
        <v>0.39731494920174165</v>
      </c>
      <c r="AK468" s="5">
        <f t="shared" si="156"/>
        <v>1.9865747460087082</v>
      </c>
      <c r="AL468" s="5">
        <f t="shared" si="157"/>
        <v>4.9664368650217705</v>
      </c>
      <c r="AM468" s="5">
        <f t="shared" si="158"/>
        <v>0</v>
      </c>
      <c r="AN468" s="5">
        <f t="shared" si="159"/>
        <v>4.9664368650217705</v>
      </c>
      <c r="AO468" s="1" t="s">
        <v>102</v>
      </c>
    </row>
    <row r="469" spans="1:41" x14ac:dyDescent="0.25">
      <c r="A469" s="1" t="s">
        <v>19</v>
      </c>
      <c r="B469" s="1" t="s">
        <v>37</v>
      </c>
      <c r="C469" s="1" t="s">
        <v>21</v>
      </c>
      <c r="D469" s="1" t="s">
        <v>38</v>
      </c>
      <c r="E469" s="1" t="s">
        <v>96</v>
      </c>
      <c r="F469" s="1" t="s">
        <v>103</v>
      </c>
      <c r="G469" s="1" t="s">
        <v>114</v>
      </c>
      <c r="H469" s="1" t="s">
        <v>590</v>
      </c>
      <c r="I469" s="1" t="s">
        <v>210</v>
      </c>
      <c r="J469" s="1" t="s">
        <v>101</v>
      </c>
      <c r="K469" s="1" t="s">
        <v>175</v>
      </c>
      <c r="L469" s="1">
        <v>2575590</v>
      </c>
      <c r="M469" s="1" t="s">
        <v>673</v>
      </c>
      <c r="N469" s="8">
        <f t="shared" si="161"/>
        <v>43500</v>
      </c>
      <c r="O469" s="8">
        <f>DATE(2020,12,23)</f>
        <v>44188</v>
      </c>
      <c r="P469" s="1">
        <v>1703</v>
      </c>
      <c r="Q469" s="1">
        <v>1200</v>
      </c>
      <c r="R469" s="1">
        <f t="shared" si="142"/>
        <v>1200</v>
      </c>
      <c r="S469" s="1">
        <v>2.5</v>
      </c>
      <c r="U469" s="1">
        <f t="shared" si="143"/>
        <v>689</v>
      </c>
      <c r="V469" s="7">
        <f t="shared" si="144"/>
        <v>1.741654571843251</v>
      </c>
      <c r="W469" s="7">
        <f t="shared" si="145"/>
        <v>635.70391872278663</v>
      </c>
      <c r="X469" s="7">
        <f t="shared" si="146"/>
        <v>0.7946298984034833</v>
      </c>
      <c r="AA469" s="8">
        <f t="shared" si="147"/>
        <v>44927</v>
      </c>
      <c r="AB469" s="8">
        <f t="shared" si="148"/>
        <v>45291</v>
      </c>
      <c r="AC469" s="1">
        <v>2</v>
      </c>
      <c r="AD469" s="1">
        <f t="shared" si="149"/>
        <v>0</v>
      </c>
      <c r="AE469" s="1">
        <f t="shared" si="150"/>
        <v>0</v>
      </c>
      <c r="AF469" s="1">
        <f t="shared" si="151"/>
        <v>0</v>
      </c>
      <c r="AG469" s="1">
        <f t="shared" si="152"/>
        <v>0</v>
      </c>
      <c r="AH469" s="1">
        <f t="shared" si="153"/>
        <v>182.5</v>
      </c>
      <c r="AI469" s="5">
        <f t="shared" si="154"/>
        <v>0.5</v>
      </c>
      <c r="AJ469" s="5">
        <f t="shared" si="155"/>
        <v>0.39731494920174165</v>
      </c>
      <c r="AK469" s="5">
        <f t="shared" si="156"/>
        <v>0.39731494920174165</v>
      </c>
      <c r="AL469" s="5">
        <f t="shared" si="157"/>
        <v>0.9932873730043541</v>
      </c>
      <c r="AM469" s="5">
        <f t="shared" si="158"/>
        <v>0</v>
      </c>
      <c r="AN469" s="5">
        <f t="shared" si="159"/>
        <v>0.9932873730043541</v>
      </c>
      <c r="AO469" s="1" t="s">
        <v>102</v>
      </c>
    </row>
    <row r="470" spans="1:41" x14ac:dyDescent="0.25">
      <c r="A470" s="1" t="s">
        <v>19</v>
      </c>
      <c r="B470" s="1" t="s">
        <v>37</v>
      </c>
      <c r="C470" s="1" t="s">
        <v>21</v>
      </c>
      <c r="D470" s="1" t="s">
        <v>38</v>
      </c>
      <c r="E470" s="1" t="s">
        <v>96</v>
      </c>
      <c r="F470" s="1" t="s">
        <v>103</v>
      </c>
      <c r="G470" s="1" t="s">
        <v>114</v>
      </c>
      <c r="H470" s="1" t="s">
        <v>592</v>
      </c>
      <c r="I470" s="1" t="s">
        <v>210</v>
      </c>
      <c r="J470" s="1" t="s">
        <v>101</v>
      </c>
      <c r="K470" s="1" t="s">
        <v>175</v>
      </c>
      <c r="L470" s="1">
        <v>2575591</v>
      </c>
      <c r="M470" s="1" t="s">
        <v>674</v>
      </c>
      <c r="N470" s="8">
        <f t="shared" si="161"/>
        <v>43500</v>
      </c>
      <c r="O470" s="8">
        <f>DATE(2020,12,23)</f>
        <v>44188</v>
      </c>
      <c r="P470" s="1">
        <v>1707</v>
      </c>
      <c r="Q470" s="1">
        <v>1200</v>
      </c>
      <c r="R470" s="1">
        <f t="shared" si="142"/>
        <v>1200</v>
      </c>
      <c r="S470" s="1">
        <v>2.5</v>
      </c>
      <c r="U470" s="1">
        <f t="shared" si="143"/>
        <v>689</v>
      </c>
      <c r="V470" s="7">
        <f t="shared" si="144"/>
        <v>1.741654571843251</v>
      </c>
      <c r="W470" s="7">
        <f t="shared" si="145"/>
        <v>635.70391872278663</v>
      </c>
      <c r="X470" s="7">
        <f t="shared" si="146"/>
        <v>0.7946298984034833</v>
      </c>
      <c r="AA470" s="8">
        <f t="shared" si="147"/>
        <v>44927</v>
      </c>
      <c r="AB470" s="8">
        <f t="shared" si="148"/>
        <v>45291</v>
      </c>
      <c r="AC470" s="1">
        <v>2</v>
      </c>
      <c r="AD470" s="1">
        <f t="shared" si="149"/>
        <v>0</v>
      </c>
      <c r="AE470" s="1">
        <f t="shared" si="150"/>
        <v>0</v>
      </c>
      <c r="AF470" s="1">
        <f t="shared" si="151"/>
        <v>0</v>
      </c>
      <c r="AG470" s="1">
        <f t="shared" si="152"/>
        <v>0</v>
      </c>
      <c r="AH470" s="1">
        <f t="shared" si="153"/>
        <v>182.5</v>
      </c>
      <c r="AI470" s="5">
        <f t="shared" si="154"/>
        <v>0.5</v>
      </c>
      <c r="AJ470" s="5">
        <f t="shared" si="155"/>
        <v>0.39731494920174165</v>
      </c>
      <c r="AK470" s="5">
        <f t="shared" si="156"/>
        <v>0.39731494920174165</v>
      </c>
      <c r="AL470" s="5">
        <f t="shared" si="157"/>
        <v>0.9932873730043541</v>
      </c>
      <c r="AM470" s="5">
        <f t="shared" si="158"/>
        <v>0</v>
      </c>
      <c r="AN470" s="5">
        <f t="shared" si="159"/>
        <v>0.9932873730043541</v>
      </c>
      <c r="AO470" s="1" t="s">
        <v>102</v>
      </c>
    </row>
    <row r="471" spans="1:41" x14ac:dyDescent="0.25">
      <c r="A471" s="1" t="s">
        <v>19</v>
      </c>
      <c r="B471" s="1" t="s">
        <v>37</v>
      </c>
      <c r="C471" s="1" t="s">
        <v>21</v>
      </c>
      <c r="D471" s="1" t="s">
        <v>38</v>
      </c>
      <c r="E471" s="1" t="s">
        <v>96</v>
      </c>
      <c r="F471" s="1" t="s">
        <v>103</v>
      </c>
      <c r="G471" s="1" t="s">
        <v>98</v>
      </c>
      <c r="H471" s="1" t="s">
        <v>537</v>
      </c>
      <c r="I471" s="1" t="s">
        <v>162</v>
      </c>
      <c r="J471" s="1" t="s">
        <v>101</v>
      </c>
      <c r="L471" s="1">
        <v>2577104</v>
      </c>
      <c r="M471" s="1" t="s">
        <v>675</v>
      </c>
      <c r="N471" s="8">
        <f t="shared" si="161"/>
        <v>43500</v>
      </c>
      <c r="O471" s="8">
        <f>DATE(2023,12,23)</f>
        <v>45283</v>
      </c>
      <c r="P471" s="1">
        <v>4280</v>
      </c>
      <c r="Q471" s="1">
        <v>3200</v>
      </c>
      <c r="R471" s="1">
        <f t="shared" si="142"/>
        <v>3200</v>
      </c>
      <c r="S471" s="1">
        <v>2.5</v>
      </c>
      <c r="U471" s="1">
        <f t="shared" si="143"/>
        <v>1784</v>
      </c>
      <c r="V471" s="7">
        <f t="shared" si="144"/>
        <v>1.7937219730941705</v>
      </c>
      <c r="W471" s="7">
        <f t="shared" si="145"/>
        <v>654.70852017937227</v>
      </c>
      <c r="X471" s="7">
        <f t="shared" si="146"/>
        <v>0.81838565022421539</v>
      </c>
      <c r="AA471" s="8">
        <f t="shared" si="147"/>
        <v>44927</v>
      </c>
      <c r="AB471" s="8">
        <f t="shared" si="148"/>
        <v>45291</v>
      </c>
      <c r="AC471" s="1">
        <v>25</v>
      </c>
      <c r="AD471" s="1">
        <f t="shared" si="149"/>
        <v>0</v>
      </c>
      <c r="AE471" s="1">
        <f t="shared" si="150"/>
        <v>0</v>
      </c>
      <c r="AF471" s="1">
        <f t="shared" si="151"/>
        <v>357</v>
      </c>
      <c r="AG471" s="1">
        <f t="shared" si="152"/>
        <v>0</v>
      </c>
      <c r="AH471" s="1">
        <f t="shared" si="153"/>
        <v>0</v>
      </c>
      <c r="AI471" s="5">
        <f t="shared" si="154"/>
        <v>0.9780821917808219</v>
      </c>
      <c r="AJ471" s="5">
        <f t="shared" si="155"/>
        <v>0.80044843049327363</v>
      </c>
      <c r="AK471" s="5">
        <f t="shared" si="156"/>
        <v>20.011210762331842</v>
      </c>
      <c r="AL471" s="5">
        <f t="shared" si="157"/>
        <v>50.028026905829606</v>
      </c>
      <c r="AM471" s="5">
        <f t="shared" si="158"/>
        <v>0</v>
      </c>
      <c r="AN471" s="5">
        <f t="shared" si="159"/>
        <v>50.028026905829606</v>
      </c>
      <c r="AO471" s="1" t="s">
        <v>102</v>
      </c>
    </row>
    <row r="472" spans="1:41" x14ac:dyDescent="0.25">
      <c r="A472" s="1" t="s">
        <v>19</v>
      </c>
      <c r="B472" s="1" t="s">
        <v>37</v>
      </c>
      <c r="C472" s="1" t="s">
        <v>21</v>
      </c>
      <c r="D472" s="1" t="s">
        <v>38</v>
      </c>
      <c r="E472" s="1" t="s">
        <v>96</v>
      </c>
      <c r="F472" s="1" t="s">
        <v>103</v>
      </c>
      <c r="G472" s="1" t="s">
        <v>98</v>
      </c>
      <c r="H472" s="1" t="s">
        <v>542</v>
      </c>
      <c r="I472" s="1" t="s">
        <v>210</v>
      </c>
      <c r="J472" s="1" t="s">
        <v>101</v>
      </c>
      <c r="L472" s="1">
        <v>2577106</v>
      </c>
      <c r="M472" s="1" t="s">
        <v>676</v>
      </c>
      <c r="N472" s="8">
        <f t="shared" si="161"/>
        <v>43500</v>
      </c>
      <c r="O472" s="8">
        <f>DATE(2023,12,23)</f>
        <v>45283</v>
      </c>
      <c r="P472" s="1">
        <v>4430</v>
      </c>
      <c r="Q472" s="1">
        <v>3600</v>
      </c>
      <c r="R472" s="1">
        <f t="shared" si="142"/>
        <v>3600</v>
      </c>
      <c r="S472" s="1">
        <v>2.5</v>
      </c>
      <c r="U472" s="1">
        <f t="shared" si="143"/>
        <v>1784</v>
      </c>
      <c r="V472" s="7">
        <f t="shared" si="144"/>
        <v>2.0179372197309418</v>
      </c>
      <c r="W472" s="7">
        <f t="shared" si="145"/>
        <v>736.54708520179372</v>
      </c>
      <c r="X472" s="7">
        <f t="shared" si="146"/>
        <v>0.92068385650224216</v>
      </c>
      <c r="AA472" s="8">
        <f t="shared" si="147"/>
        <v>44927</v>
      </c>
      <c r="AB472" s="8">
        <f t="shared" si="148"/>
        <v>45291</v>
      </c>
      <c r="AC472" s="1">
        <v>18</v>
      </c>
      <c r="AD472" s="1">
        <f t="shared" si="149"/>
        <v>0</v>
      </c>
      <c r="AE472" s="1">
        <f t="shared" si="150"/>
        <v>0</v>
      </c>
      <c r="AF472" s="1">
        <f t="shared" si="151"/>
        <v>357</v>
      </c>
      <c r="AG472" s="1">
        <f t="shared" si="152"/>
        <v>0</v>
      </c>
      <c r="AH472" s="1">
        <f t="shared" si="153"/>
        <v>0</v>
      </c>
      <c r="AI472" s="5">
        <f t="shared" si="154"/>
        <v>0.9780821917808219</v>
      </c>
      <c r="AJ472" s="5">
        <f t="shared" si="155"/>
        <v>0.90050448430493268</v>
      </c>
      <c r="AK472" s="5">
        <f t="shared" si="156"/>
        <v>16.209080717488789</v>
      </c>
      <c r="AL472" s="5">
        <f t="shared" si="157"/>
        <v>40.522701793721971</v>
      </c>
      <c r="AM472" s="5">
        <f t="shared" si="158"/>
        <v>0</v>
      </c>
      <c r="AN472" s="5">
        <f t="shared" si="159"/>
        <v>40.522701793721971</v>
      </c>
      <c r="AO472" s="1" t="s">
        <v>102</v>
      </c>
    </row>
    <row r="473" spans="1:41" x14ac:dyDescent="0.25">
      <c r="A473" s="1" t="s">
        <v>19</v>
      </c>
      <c r="B473" s="1" t="s">
        <v>37</v>
      </c>
      <c r="C473" s="1" t="s">
        <v>21</v>
      </c>
      <c r="D473" s="1" t="s">
        <v>38</v>
      </c>
      <c r="E473" s="1" t="s">
        <v>96</v>
      </c>
      <c r="F473" s="1" t="s">
        <v>103</v>
      </c>
      <c r="G473" s="1" t="s">
        <v>98</v>
      </c>
      <c r="H473" s="1" t="s">
        <v>523</v>
      </c>
      <c r="I473" s="1" t="s">
        <v>100</v>
      </c>
      <c r="J473" s="1" t="s">
        <v>101</v>
      </c>
      <c r="L473" s="1">
        <v>2577112</v>
      </c>
      <c r="M473" s="1" t="s">
        <v>677</v>
      </c>
      <c r="N473" s="8">
        <f t="shared" si="161"/>
        <v>43500</v>
      </c>
      <c r="O473" s="8">
        <f>DATE(2021,12,23)</f>
        <v>44553</v>
      </c>
      <c r="P473" s="1">
        <v>2587</v>
      </c>
      <c r="Q473" s="1">
        <v>2400</v>
      </c>
      <c r="R473" s="1">
        <f t="shared" si="142"/>
        <v>2400</v>
      </c>
      <c r="S473" s="1">
        <v>1</v>
      </c>
      <c r="U473" s="1">
        <f t="shared" si="143"/>
        <v>1054</v>
      </c>
      <c r="V473" s="7">
        <f t="shared" si="144"/>
        <v>2.2770398481973433</v>
      </c>
      <c r="W473" s="7">
        <f t="shared" si="145"/>
        <v>831.11954459203025</v>
      </c>
      <c r="X473" s="7">
        <f t="shared" si="146"/>
        <v>1.0388994307400379</v>
      </c>
      <c r="AA473" s="8">
        <f t="shared" si="147"/>
        <v>44927</v>
      </c>
      <c r="AB473" s="8">
        <f t="shared" si="148"/>
        <v>45291</v>
      </c>
      <c r="AC473" s="1">
        <v>24</v>
      </c>
      <c r="AD473" s="1">
        <f t="shared" si="149"/>
        <v>0</v>
      </c>
      <c r="AE473" s="1">
        <f t="shared" si="150"/>
        <v>0</v>
      </c>
      <c r="AF473" s="1">
        <f t="shared" si="151"/>
        <v>0</v>
      </c>
      <c r="AG473" s="1">
        <f t="shared" si="152"/>
        <v>0</v>
      </c>
      <c r="AH473" s="1">
        <f t="shared" si="153"/>
        <v>182.5</v>
      </c>
      <c r="AI473" s="5">
        <f t="shared" si="154"/>
        <v>0.5</v>
      </c>
      <c r="AJ473" s="5">
        <f t="shared" si="155"/>
        <v>0.51944971537001894</v>
      </c>
      <c r="AK473" s="5">
        <f t="shared" si="156"/>
        <v>6.2333965844402268</v>
      </c>
      <c r="AL473" s="5">
        <f t="shared" si="157"/>
        <v>6.2333965844402268</v>
      </c>
      <c r="AM473" s="5">
        <f t="shared" si="158"/>
        <v>0</v>
      </c>
      <c r="AN473" s="5">
        <f t="shared" si="159"/>
        <v>6.2333965844402268</v>
      </c>
      <c r="AO473" s="1" t="s">
        <v>102</v>
      </c>
    </row>
    <row r="474" spans="1:41" x14ac:dyDescent="0.25">
      <c r="A474" s="1" t="s">
        <v>19</v>
      </c>
      <c r="B474" s="1" t="s">
        <v>37</v>
      </c>
      <c r="C474" s="1" t="s">
        <v>21</v>
      </c>
      <c r="D474" s="1" t="s">
        <v>38</v>
      </c>
      <c r="E474" s="1" t="s">
        <v>96</v>
      </c>
      <c r="F474" s="1" t="s">
        <v>103</v>
      </c>
      <c r="G474" s="1" t="s">
        <v>98</v>
      </c>
      <c r="H474" s="1" t="s">
        <v>566</v>
      </c>
      <c r="I474" s="1" t="s">
        <v>336</v>
      </c>
      <c r="J474" s="1" t="s">
        <v>101</v>
      </c>
      <c r="L474" s="1">
        <v>2577126</v>
      </c>
      <c r="M474" s="1" t="s">
        <v>678</v>
      </c>
      <c r="N474" s="8">
        <f t="shared" si="161"/>
        <v>43500</v>
      </c>
      <c r="O474" s="8">
        <f>DATE(2021,12,23)</f>
        <v>44553</v>
      </c>
      <c r="P474" s="1">
        <v>2668</v>
      </c>
      <c r="Q474" s="1">
        <v>2400</v>
      </c>
      <c r="R474" s="1">
        <f t="shared" si="142"/>
        <v>2400</v>
      </c>
      <c r="S474" s="1">
        <v>1</v>
      </c>
      <c r="U474" s="1">
        <f t="shared" si="143"/>
        <v>1054</v>
      </c>
      <c r="V474" s="7">
        <f t="shared" si="144"/>
        <v>2.2770398481973433</v>
      </c>
      <c r="W474" s="7">
        <f t="shared" si="145"/>
        <v>831.11954459203025</v>
      </c>
      <c r="X474" s="7">
        <f t="shared" si="146"/>
        <v>1.0388994307400379</v>
      </c>
      <c r="AA474" s="8">
        <f t="shared" si="147"/>
        <v>44927</v>
      </c>
      <c r="AB474" s="8">
        <f t="shared" si="148"/>
        <v>45291</v>
      </c>
      <c r="AC474" s="1">
        <v>27</v>
      </c>
      <c r="AD474" s="1">
        <f t="shared" si="149"/>
        <v>0</v>
      </c>
      <c r="AE474" s="1">
        <f t="shared" si="150"/>
        <v>0</v>
      </c>
      <c r="AF474" s="1">
        <f t="shared" si="151"/>
        <v>0</v>
      </c>
      <c r="AG474" s="1">
        <f t="shared" si="152"/>
        <v>0</v>
      </c>
      <c r="AH474" s="1">
        <f t="shared" si="153"/>
        <v>182.5</v>
      </c>
      <c r="AI474" s="5">
        <f t="shared" si="154"/>
        <v>0.5</v>
      </c>
      <c r="AJ474" s="5">
        <f t="shared" si="155"/>
        <v>0.51944971537001894</v>
      </c>
      <c r="AK474" s="5">
        <f t="shared" si="156"/>
        <v>7.0125711574952554</v>
      </c>
      <c r="AL474" s="5">
        <f t="shared" si="157"/>
        <v>7.0125711574952554</v>
      </c>
      <c r="AM474" s="5">
        <f t="shared" si="158"/>
        <v>0</v>
      </c>
      <c r="AN474" s="5">
        <f t="shared" si="159"/>
        <v>7.0125711574952554</v>
      </c>
      <c r="AO474" s="1" t="s">
        <v>102</v>
      </c>
    </row>
    <row r="475" spans="1:41" x14ac:dyDescent="0.25">
      <c r="A475" s="1" t="s">
        <v>19</v>
      </c>
      <c r="B475" s="1" t="s">
        <v>37</v>
      </c>
      <c r="C475" s="1" t="s">
        <v>21</v>
      </c>
      <c r="D475" s="1" t="s">
        <v>38</v>
      </c>
      <c r="E475" s="1" t="s">
        <v>96</v>
      </c>
      <c r="F475" s="1" t="s">
        <v>103</v>
      </c>
      <c r="G475" s="1" t="s">
        <v>127</v>
      </c>
      <c r="H475" s="1" t="s">
        <v>520</v>
      </c>
      <c r="I475" s="1" t="s">
        <v>210</v>
      </c>
      <c r="J475" s="1" t="s">
        <v>101</v>
      </c>
      <c r="L475" s="1">
        <v>2577205</v>
      </c>
      <c r="M475" s="1" t="s">
        <v>679</v>
      </c>
      <c r="N475" s="8">
        <f t="shared" si="161"/>
        <v>43500</v>
      </c>
      <c r="O475" s="8">
        <f>DATE(2022,7,30)</f>
        <v>44772</v>
      </c>
      <c r="P475" s="1">
        <v>2406</v>
      </c>
      <c r="Q475" s="1">
        <v>2400</v>
      </c>
      <c r="R475" s="1">
        <f t="shared" si="142"/>
        <v>2400</v>
      </c>
      <c r="S475" s="1">
        <v>2.5</v>
      </c>
      <c r="U475" s="1">
        <f t="shared" si="143"/>
        <v>1273</v>
      </c>
      <c r="V475" s="7">
        <f t="shared" si="144"/>
        <v>1.8853102906520032</v>
      </c>
      <c r="W475" s="7">
        <f t="shared" si="145"/>
        <v>688.13825608798118</v>
      </c>
      <c r="X475" s="7">
        <f t="shared" si="146"/>
        <v>0.86017282010997642</v>
      </c>
      <c r="AA475" s="8">
        <f t="shared" si="147"/>
        <v>44927</v>
      </c>
      <c r="AB475" s="8">
        <f t="shared" si="148"/>
        <v>45291</v>
      </c>
      <c r="AC475" s="1">
        <v>10</v>
      </c>
      <c r="AD475" s="1">
        <f t="shared" si="149"/>
        <v>0</v>
      </c>
      <c r="AE475" s="1">
        <f t="shared" si="150"/>
        <v>0</v>
      </c>
      <c r="AF475" s="1">
        <f t="shared" si="151"/>
        <v>0</v>
      </c>
      <c r="AG475" s="1">
        <f t="shared" si="152"/>
        <v>0</v>
      </c>
      <c r="AH475" s="1">
        <f t="shared" si="153"/>
        <v>182.5</v>
      </c>
      <c r="AI475" s="5">
        <f t="shared" si="154"/>
        <v>0.5</v>
      </c>
      <c r="AJ475" s="5">
        <f t="shared" si="155"/>
        <v>0.43008641005498821</v>
      </c>
      <c r="AK475" s="5">
        <f t="shared" si="156"/>
        <v>2.150432050274941</v>
      </c>
      <c r="AL475" s="5">
        <f t="shared" si="157"/>
        <v>5.3760801256873521</v>
      </c>
      <c r="AM475" s="5">
        <f t="shared" si="158"/>
        <v>0</v>
      </c>
      <c r="AN475" s="5">
        <f t="shared" si="159"/>
        <v>5.3760801256873521</v>
      </c>
      <c r="AO475" s="1" t="s">
        <v>102</v>
      </c>
    </row>
    <row r="476" spans="1:41" x14ac:dyDescent="0.25">
      <c r="A476" s="1" t="s">
        <v>19</v>
      </c>
      <c r="B476" s="1" t="s">
        <v>37</v>
      </c>
      <c r="C476" s="1" t="s">
        <v>21</v>
      </c>
      <c r="D476" s="1" t="s">
        <v>38</v>
      </c>
      <c r="E476" s="1" t="s">
        <v>96</v>
      </c>
      <c r="F476" s="1" t="s">
        <v>103</v>
      </c>
      <c r="G476" s="1" t="s">
        <v>127</v>
      </c>
      <c r="H476" s="1" t="s">
        <v>525</v>
      </c>
      <c r="I476" s="1" t="s">
        <v>331</v>
      </c>
      <c r="J476" s="1" t="s">
        <v>101</v>
      </c>
      <c r="L476" s="1">
        <v>2577206</v>
      </c>
      <c r="M476" s="1" t="s">
        <v>680</v>
      </c>
      <c r="N476" s="8">
        <f t="shared" si="161"/>
        <v>43500</v>
      </c>
      <c r="O476" s="8">
        <f>DATE(2022,7,30)</f>
        <v>44772</v>
      </c>
      <c r="P476" s="1">
        <v>2750</v>
      </c>
      <c r="Q476" s="1">
        <v>2400</v>
      </c>
      <c r="R476" s="1">
        <f t="shared" si="142"/>
        <v>2400</v>
      </c>
      <c r="S476" s="1">
        <v>2.5</v>
      </c>
      <c r="U476" s="1">
        <f t="shared" si="143"/>
        <v>1273</v>
      </c>
      <c r="V476" s="7">
        <f t="shared" si="144"/>
        <v>1.8853102906520032</v>
      </c>
      <c r="W476" s="7">
        <f t="shared" si="145"/>
        <v>688.13825608798118</v>
      </c>
      <c r="X476" s="7">
        <f t="shared" si="146"/>
        <v>0.86017282010997642</v>
      </c>
      <c r="AA476" s="8">
        <f t="shared" si="147"/>
        <v>44927</v>
      </c>
      <c r="AB476" s="8">
        <f t="shared" si="148"/>
        <v>45291</v>
      </c>
      <c r="AC476" s="1">
        <v>8</v>
      </c>
      <c r="AD476" s="1">
        <f t="shared" si="149"/>
        <v>0</v>
      </c>
      <c r="AE476" s="1">
        <f t="shared" si="150"/>
        <v>0</v>
      </c>
      <c r="AF476" s="1">
        <f t="shared" si="151"/>
        <v>0</v>
      </c>
      <c r="AG476" s="1">
        <f t="shared" si="152"/>
        <v>0</v>
      </c>
      <c r="AH476" s="1">
        <f t="shared" si="153"/>
        <v>182.5</v>
      </c>
      <c r="AI476" s="5">
        <f t="shared" si="154"/>
        <v>0.5</v>
      </c>
      <c r="AJ476" s="5">
        <f t="shared" si="155"/>
        <v>0.43008641005498821</v>
      </c>
      <c r="AK476" s="5">
        <f t="shared" si="156"/>
        <v>1.7203456402199528</v>
      </c>
      <c r="AL476" s="5">
        <f t="shared" si="157"/>
        <v>4.300864100549882</v>
      </c>
      <c r="AM476" s="5">
        <f t="shared" si="158"/>
        <v>0</v>
      </c>
      <c r="AN476" s="5">
        <f t="shared" si="159"/>
        <v>4.300864100549882</v>
      </c>
      <c r="AO476" s="1" t="s">
        <v>102</v>
      </c>
    </row>
    <row r="477" spans="1:41" x14ac:dyDescent="0.25">
      <c r="A477" s="1" t="s">
        <v>19</v>
      </c>
      <c r="B477" s="1" t="s">
        <v>37</v>
      </c>
      <c r="C477" s="1" t="s">
        <v>21</v>
      </c>
      <c r="D477" s="1" t="s">
        <v>38</v>
      </c>
      <c r="E477" s="1" t="s">
        <v>96</v>
      </c>
      <c r="F477" s="1" t="s">
        <v>103</v>
      </c>
      <c r="G477" s="1" t="s">
        <v>127</v>
      </c>
      <c r="H477" s="1" t="s">
        <v>555</v>
      </c>
      <c r="I477" s="1" t="s">
        <v>331</v>
      </c>
      <c r="J477" s="1" t="s">
        <v>101</v>
      </c>
      <c r="L477" s="1">
        <v>2577208</v>
      </c>
      <c r="M477" s="1" t="s">
        <v>681</v>
      </c>
      <c r="N477" s="8">
        <f t="shared" si="161"/>
        <v>43500</v>
      </c>
      <c r="O477" s="8">
        <f>DATE(2022,7,30)</f>
        <v>44772</v>
      </c>
      <c r="P477" s="1">
        <v>2642</v>
      </c>
      <c r="Q477" s="1">
        <v>2400</v>
      </c>
      <c r="R477" s="1">
        <f t="shared" si="142"/>
        <v>2400</v>
      </c>
      <c r="S477" s="1">
        <v>2.5</v>
      </c>
      <c r="U477" s="1">
        <f t="shared" si="143"/>
        <v>1273</v>
      </c>
      <c r="V477" s="7">
        <f t="shared" si="144"/>
        <v>1.8853102906520032</v>
      </c>
      <c r="W477" s="7">
        <f t="shared" si="145"/>
        <v>688.13825608798118</v>
      </c>
      <c r="X477" s="7">
        <f t="shared" si="146"/>
        <v>0.86017282010997642</v>
      </c>
      <c r="AA477" s="8">
        <f t="shared" si="147"/>
        <v>44927</v>
      </c>
      <c r="AB477" s="8">
        <f t="shared" si="148"/>
        <v>45291</v>
      </c>
      <c r="AC477" s="1">
        <v>21</v>
      </c>
      <c r="AD477" s="1">
        <f t="shared" si="149"/>
        <v>0</v>
      </c>
      <c r="AE477" s="1">
        <f t="shared" si="150"/>
        <v>0</v>
      </c>
      <c r="AF477" s="1">
        <f t="shared" si="151"/>
        <v>0</v>
      </c>
      <c r="AG477" s="1">
        <f t="shared" si="152"/>
        <v>0</v>
      </c>
      <c r="AH477" s="1">
        <f t="shared" si="153"/>
        <v>182.5</v>
      </c>
      <c r="AI477" s="5">
        <f t="shared" si="154"/>
        <v>0.5</v>
      </c>
      <c r="AJ477" s="5">
        <f t="shared" si="155"/>
        <v>0.43008641005498821</v>
      </c>
      <c r="AK477" s="5">
        <f t="shared" si="156"/>
        <v>4.5159073055773762</v>
      </c>
      <c r="AL477" s="5">
        <f t="shared" si="157"/>
        <v>11.28976826394344</v>
      </c>
      <c r="AM477" s="5">
        <f t="shared" si="158"/>
        <v>0</v>
      </c>
      <c r="AN477" s="5">
        <f t="shared" si="159"/>
        <v>11.28976826394344</v>
      </c>
      <c r="AO477" s="1" t="s">
        <v>102</v>
      </c>
    </row>
    <row r="478" spans="1:41" x14ac:dyDescent="0.25">
      <c r="A478" s="1" t="s">
        <v>19</v>
      </c>
      <c r="B478" s="1" t="s">
        <v>37</v>
      </c>
      <c r="C478" s="1" t="s">
        <v>21</v>
      </c>
      <c r="D478" s="1" t="s">
        <v>38</v>
      </c>
      <c r="E478" s="1" t="s">
        <v>96</v>
      </c>
      <c r="F478" s="1" t="s">
        <v>103</v>
      </c>
      <c r="G478" s="1" t="s">
        <v>127</v>
      </c>
      <c r="H478" s="1" t="s">
        <v>562</v>
      </c>
      <c r="I478" s="1" t="s">
        <v>331</v>
      </c>
      <c r="J478" s="1" t="s">
        <v>101</v>
      </c>
      <c r="L478" s="1">
        <v>2577209</v>
      </c>
      <c r="M478" s="1" t="s">
        <v>682</v>
      </c>
      <c r="N478" s="8">
        <f t="shared" si="161"/>
        <v>43500</v>
      </c>
      <c r="O478" s="8">
        <f>DATE(2021,12,23)</f>
        <v>44553</v>
      </c>
      <c r="P478" s="1">
        <v>2332</v>
      </c>
      <c r="Q478" s="1">
        <v>2400</v>
      </c>
      <c r="R478" s="1">
        <f t="shared" si="142"/>
        <v>2400</v>
      </c>
      <c r="S478" s="1">
        <v>2.5</v>
      </c>
      <c r="U478" s="1">
        <f t="shared" si="143"/>
        <v>1054</v>
      </c>
      <c r="V478" s="7">
        <f t="shared" si="144"/>
        <v>2.2125237191650853</v>
      </c>
      <c r="W478" s="7">
        <f t="shared" si="145"/>
        <v>807.5711574952561</v>
      </c>
      <c r="X478" s="7">
        <f t="shared" si="146"/>
        <v>1.00946394686907</v>
      </c>
      <c r="AA478" s="8">
        <f t="shared" si="147"/>
        <v>44927</v>
      </c>
      <c r="AB478" s="8">
        <f t="shared" si="148"/>
        <v>45291</v>
      </c>
      <c r="AC478" s="1">
        <v>10</v>
      </c>
      <c r="AD478" s="1">
        <f t="shared" si="149"/>
        <v>0</v>
      </c>
      <c r="AE478" s="1">
        <f t="shared" si="150"/>
        <v>0</v>
      </c>
      <c r="AF478" s="1">
        <f t="shared" si="151"/>
        <v>0</v>
      </c>
      <c r="AG478" s="1">
        <f t="shared" si="152"/>
        <v>0</v>
      </c>
      <c r="AH478" s="1">
        <f t="shared" si="153"/>
        <v>182.5</v>
      </c>
      <c r="AI478" s="5">
        <f t="shared" si="154"/>
        <v>0.5</v>
      </c>
      <c r="AJ478" s="5">
        <f t="shared" si="155"/>
        <v>0.50473197343453502</v>
      </c>
      <c r="AK478" s="5">
        <f t="shared" si="156"/>
        <v>2.5236598671726753</v>
      </c>
      <c r="AL478" s="5">
        <f t="shared" si="157"/>
        <v>6.3091496679316883</v>
      </c>
      <c r="AM478" s="5">
        <f t="shared" si="158"/>
        <v>0</v>
      </c>
      <c r="AN478" s="5">
        <f t="shared" si="159"/>
        <v>6.3091496679316883</v>
      </c>
      <c r="AO478" s="1" t="s">
        <v>102</v>
      </c>
    </row>
    <row r="479" spans="1:41" x14ac:dyDescent="0.25">
      <c r="A479" s="1" t="s">
        <v>19</v>
      </c>
      <c r="B479" s="1" t="s">
        <v>37</v>
      </c>
      <c r="C479" s="1" t="s">
        <v>21</v>
      </c>
      <c r="D479" s="1" t="s">
        <v>38</v>
      </c>
      <c r="E479" s="1" t="s">
        <v>96</v>
      </c>
      <c r="F479" s="1" t="s">
        <v>103</v>
      </c>
      <c r="G479" s="1" t="s">
        <v>127</v>
      </c>
      <c r="H479" s="1" t="s">
        <v>518</v>
      </c>
      <c r="I479" s="1" t="s">
        <v>162</v>
      </c>
      <c r="J479" s="1" t="s">
        <v>101</v>
      </c>
      <c r="L479" s="1">
        <v>2577212</v>
      </c>
      <c r="M479" s="1" t="s">
        <v>683</v>
      </c>
      <c r="N479" s="8">
        <f t="shared" si="161"/>
        <v>43500</v>
      </c>
      <c r="O479" s="8">
        <f>DATE(2021,12,23)</f>
        <v>44553</v>
      </c>
      <c r="P479" s="1">
        <v>2246</v>
      </c>
      <c r="Q479" s="1">
        <v>2000</v>
      </c>
      <c r="R479" s="1">
        <f t="shared" si="142"/>
        <v>2000</v>
      </c>
      <c r="S479" s="1">
        <v>1.5</v>
      </c>
      <c r="U479" s="1">
        <f t="shared" si="143"/>
        <v>1054</v>
      </c>
      <c r="V479" s="7">
        <f t="shared" si="144"/>
        <v>1.8975332068311195</v>
      </c>
      <c r="W479" s="7">
        <f t="shared" si="145"/>
        <v>692.59962049335866</v>
      </c>
      <c r="X479" s="7">
        <f t="shared" si="146"/>
        <v>0.86574952561669827</v>
      </c>
      <c r="AA479" s="8">
        <f t="shared" si="147"/>
        <v>44927</v>
      </c>
      <c r="AB479" s="8">
        <f t="shared" si="148"/>
        <v>45291</v>
      </c>
      <c r="AC479" s="1">
        <v>20</v>
      </c>
      <c r="AD479" s="1">
        <f t="shared" si="149"/>
        <v>0</v>
      </c>
      <c r="AE479" s="1">
        <f t="shared" si="150"/>
        <v>0</v>
      </c>
      <c r="AF479" s="1">
        <f t="shared" si="151"/>
        <v>0</v>
      </c>
      <c r="AG479" s="1">
        <f t="shared" si="152"/>
        <v>0</v>
      </c>
      <c r="AH479" s="1">
        <f t="shared" si="153"/>
        <v>182.5</v>
      </c>
      <c r="AI479" s="5">
        <f t="shared" si="154"/>
        <v>0.5</v>
      </c>
      <c r="AJ479" s="5">
        <f t="shared" si="155"/>
        <v>0.43287476280834913</v>
      </c>
      <c r="AK479" s="5">
        <f t="shared" si="156"/>
        <v>4.3287476280834909</v>
      </c>
      <c r="AL479" s="5">
        <f t="shared" si="157"/>
        <v>6.4931214421252363</v>
      </c>
      <c r="AM479" s="5">
        <f t="shared" si="158"/>
        <v>0</v>
      </c>
      <c r="AN479" s="5">
        <f t="shared" si="159"/>
        <v>6.4931214421252363</v>
      </c>
      <c r="AO479" s="1" t="s">
        <v>102</v>
      </c>
    </row>
    <row r="480" spans="1:41" x14ac:dyDescent="0.25">
      <c r="A480" s="1" t="s">
        <v>19</v>
      </c>
      <c r="B480" s="1" t="s">
        <v>37</v>
      </c>
      <c r="C480" s="1" t="s">
        <v>21</v>
      </c>
      <c r="D480" s="1" t="s">
        <v>38</v>
      </c>
      <c r="E480" s="1" t="s">
        <v>96</v>
      </c>
      <c r="F480" s="1" t="s">
        <v>103</v>
      </c>
      <c r="G480" s="1" t="s">
        <v>127</v>
      </c>
      <c r="H480" s="1" t="s">
        <v>528</v>
      </c>
      <c r="I480" s="1" t="s">
        <v>162</v>
      </c>
      <c r="J480" s="1" t="s">
        <v>101</v>
      </c>
      <c r="L480" s="1">
        <v>2577220</v>
      </c>
      <c r="M480" s="1" t="s">
        <v>684</v>
      </c>
      <c r="N480" s="8">
        <f t="shared" si="161"/>
        <v>43500</v>
      </c>
      <c r="O480" s="8">
        <f>DATE(2021,12,23)</f>
        <v>44553</v>
      </c>
      <c r="P480" s="1">
        <v>2324</v>
      </c>
      <c r="Q480" s="1">
        <v>2000</v>
      </c>
      <c r="R480" s="1">
        <f t="shared" si="142"/>
        <v>2000</v>
      </c>
      <c r="S480" s="1">
        <v>1</v>
      </c>
      <c r="U480" s="1">
        <f t="shared" si="143"/>
        <v>1054</v>
      </c>
      <c r="V480" s="7">
        <f t="shared" si="144"/>
        <v>1.8975332068311195</v>
      </c>
      <c r="W480" s="7">
        <f t="shared" si="145"/>
        <v>692.59962049335866</v>
      </c>
      <c r="X480" s="7">
        <f t="shared" si="146"/>
        <v>0.86574952561669827</v>
      </c>
      <c r="AA480" s="8">
        <f t="shared" si="147"/>
        <v>44927</v>
      </c>
      <c r="AB480" s="8">
        <f t="shared" si="148"/>
        <v>45291</v>
      </c>
      <c r="AC480" s="1">
        <v>12</v>
      </c>
      <c r="AD480" s="1">
        <f t="shared" si="149"/>
        <v>0</v>
      </c>
      <c r="AE480" s="1">
        <f t="shared" si="150"/>
        <v>0</v>
      </c>
      <c r="AF480" s="1">
        <f t="shared" si="151"/>
        <v>0</v>
      </c>
      <c r="AG480" s="1">
        <f t="shared" si="152"/>
        <v>0</v>
      </c>
      <c r="AH480" s="1">
        <f t="shared" si="153"/>
        <v>182.5</v>
      </c>
      <c r="AI480" s="5">
        <f t="shared" si="154"/>
        <v>0.5</v>
      </c>
      <c r="AJ480" s="5">
        <f t="shared" si="155"/>
        <v>0.43287476280834913</v>
      </c>
      <c r="AK480" s="5">
        <f t="shared" si="156"/>
        <v>2.5972485768500948</v>
      </c>
      <c r="AL480" s="5">
        <f t="shared" si="157"/>
        <v>2.5972485768500948</v>
      </c>
      <c r="AM480" s="5">
        <f t="shared" si="158"/>
        <v>0</v>
      </c>
      <c r="AN480" s="5">
        <f t="shared" si="159"/>
        <v>2.5972485768500948</v>
      </c>
      <c r="AO480" s="1" t="s">
        <v>102</v>
      </c>
    </row>
    <row r="481" spans="1:41" x14ac:dyDescent="0.25">
      <c r="A481" s="1" t="s">
        <v>19</v>
      </c>
      <c r="B481" s="1" t="s">
        <v>37</v>
      </c>
      <c r="C481" s="1" t="s">
        <v>21</v>
      </c>
      <c r="D481" s="1" t="s">
        <v>38</v>
      </c>
      <c r="E481" s="1" t="s">
        <v>96</v>
      </c>
      <c r="F481" s="1" t="s">
        <v>103</v>
      </c>
      <c r="G481" s="1" t="s">
        <v>320</v>
      </c>
      <c r="H481" s="1" t="s">
        <v>685</v>
      </c>
      <c r="I481" s="1" t="s">
        <v>174</v>
      </c>
      <c r="J481" s="1" t="s">
        <v>101</v>
      </c>
      <c r="L481" s="1">
        <v>2578545</v>
      </c>
      <c r="M481" s="1" t="s">
        <v>686</v>
      </c>
      <c r="N481" s="8">
        <f t="shared" si="161"/>
        <v>43500</v>
      </c>
      <c r="O481" s="8">
        <f>DATE(2022,12,23)</f>
        <v>44918</v>
      </c>
      <c r="P481" s="1">
        <v>3804</v>
      </c>
      <c r="Q481" s="1">
        <v>3200</v>
      </c>
      <c r="R481" s="1">
        <f t="shared" si="142"/>
        <v>3200</v>
      </c>
      <c r="S481" s="1">
        <v>2.5</v>
      </c>
      <c r="U481" s="1">
        <f t="shared" si="143"/>
        <v>1419</v>
      </c>
      <c r="V481" s="7">
        <f t="shared" si="144"/>
        <v>2.2551092318534178</v>
      </c>
      <c r="W481" s="7">
        <f t="shared" si="145"/>
        <v>823.11486962649747</v>
      </c>
      <c r="X481" s="7">
        <f t="shared" si="146"/>
        <v>1.0288935870331217</v>
      </c>
      <c r="AA481" s="8">
        <f t="shared" si="147"/>
        <v>44927</v>
      </c>
      <c r="AB481" s="8">
        <f t="shared" si="148"/>
        <v>45291</v>
      </c>
      <c r="AC481" s="1">
        <v>22</v>
      </c>
      <c r="AD481" s="1">
        <f t="shared" si="149"/>
        <v>0</v>
      </c>
      <c r="AE481" s="1">
        <f t="shared" si="150"/>
        <v>0</v>
      </c>
      <c r="AF481" s="1">
        <f t="shared" si="151"/>
        <v>0</v>
      </c>
      <c r="AG481" s="1">
        <f t="shared" si="152"/>
        <v>0</v>
      </c>
      <c r="AH481" s="1">
        <f t="shared" si="153"/>
        <v>182.5</v>
      </c>
      <c r="AI481" s="5">
        <f t="shared" si="154"/>
        <v>0.5</v>
      </c>
      <c r="AJ481" s="5">
        <f t="shared" si="155"/>
        <v>0.51444679351656086</v>
      </c>
      <c r="AK481" s="5">
        <f t="shared" si="156"/>
        <v>5.6589147286821699</v>
      </c>
      <c r="AL481" s="5">
        <f t="shared" si="157"/>
        <v>14.147286821705425</v>
      </c>
      <c r="AM481" s="5">
        <f t="shared" si="158"/>
        <v>0</v>
      </c>
      <c r="AN481" s="5">
        <f t="shared" si="159"/>
        <v>14.147286821705425</v>
      </c>
      <c r="AO481" s="1" t="s">
        <v>102</v>
      </c>
    </row>
    <row r="482" spans="1:41" x14ac:dyDescent="0.25">
      <c r="A482" s="1" t="s">
        <v>19</v>
      </c>
      <c r="B482" s="1" t="s">
        <v>37</v>
      </c>
      <c r="C482" s="1" t="s">
        <v>21</v>
      </c>
      <c r="D482" s="1" t="s">
        <v>38</v>
      </c>
      <c r="E482" s="1" t="s">
        <v>96</v>
      </c>
      <c r="F482" s="1" t="s">
        <v>103</v>
      </c>
      <c r="G482" s="1" t="s">
        <v>634</v>
      </c>
      <c r="H482" s="1" t="s">
        <v>635</v>
      </c>
      <c r="I482" s="1" t="s">
        <v>174</v>
      </c>
      <c r="J482" s="1" t="s">
        <v>101</v>
      </c>
      <c r="L482" s="1">
        <v>2577074</v>
      </c>
      <c r="M482" s="1" t="s">
        <v>687</v>
      </c>
      <c r="N482" s="8">
        <f>DATE(2019,3,22)</f>
        <v>43546</v>
      </c>
      <c r="O482" s="8">
        <f>DATE(2021,3,20)</f>
        <v>44275</v>
      </c>
      <c r="P482" s="1">
        <v>960</v>
      </c>
      <c r="Q482" s="1">
        <v>360</v>
      </c>
      <c r="R482" s="1">
        <f t="shared" si="142"/>
        <v>360</v>
      </c>
      <c r="S482" s="1">
        <v>3.75</v>
      </c>
      <c r="U482" s="1">
        <f t="shared" si="143"/>
        <v>730</v>
      </c>
      <c r="V482" s="7">
        <f t="shared" si="144"/>
        <v>0.49315068493150682</v>
      </c>
      <c r="W482" s="7">
        <f t="shared" si="145"/>
        <v>180</v>
      </c>
      <c r="X482" s="7">
        <f t="shared" si="146"/>
        <v>0.22500000000000001</v>
      </c>
      <c r="AA482" s="8">
        <f t="shared" si="147"/>
        <v>44927</v>
      </c>
      <c r="AB482" s="8">
        <f t="shared" si="148"/>
        <v>45291</v>
      </c>
      <c r="AC482" s="1">
        <v>2</v>
      </c>
      <c r="AD482" s="1">
        <f t="shared" si="149"/>
        <v>0</v>
      </c>
      <c r="AE482" s="1">
        <f t="shared" si="150"/>
        <v>0</v>
      </c>
      <c r="AF482" s="1">
        <f t="shared" si="151"/>
        <v>0</v>
      </c>
      <c r="AG482" s="1">
        <f t="shared" si="152"/>
        <v>0</v>
      </c>
      <c r="AH482" s="1">
        <f t="shared" si="153"/>
        <v>182.5</v>
      </c>
      <c r="AI482" s="5">
        <f t="shared" si="154"/>
        <v>0.5</v>
      </c>
      <c r="AJ482" s="5">
        <f t="shared" si="155"/>
        <v>0.1125</v>
      </c>
      <c r="AK482" s="5">
        <f t="shared" si="156"/>
        <v>0.1125</v>
      </c>
      <c r="AL482" s="5">
        <f t="shared" si="157"/>
        <v>0.421875</v>
      </c>
      <c r="AM482" s="5">
        <f t="shared" si="158"/>
        <v>0</v>
      </c>
      <c r="AN482" s="5">
        <f t="shared" si="159"/>
        <v>0.421875</v>
      </c>
      <c r="AO482" s="1" t="s">
        <v>102</v>
      </c>
    </row>
    <row r="483" spans="1:41" x14ac:dyDescent="0.25">
      <c r="A483" s="1" t="s">
        <v>19</v>
      </c>
      <c r="B483" s="1" t="s">
        <v>37</v>
      </c>
      <c r="C483" s="1" t="s">
        <v>21</v>
      </c>
      <c r="D483" s="1" t="s">
        <v>38</v>
      </c>
      <c r="E483" s="1" t="s">
        <v>96</v>
      </c>
      <c r="F483" s="1" t="s">
        <v>103</v>
      </c>
      <c r="G483" s="1" t="s">
        <v>114</v>
      </c>
      <c r="H483" s="1" t="s">
        <v>574</v>
      </c>
      <c r="I483" s="1" t="s">
        <v>331</v>
      </c>
      <c r="J483" s="1" t="s">
        <v>101</v>
      </c>
      <c r="K483" s="1" t="s">
        <v>175</v>
      </c>
      <c r="L483" s="1">
        <v>2623333</v>
      </c>
      <c r="M483" s="1" t="s">
        <v>688</v>
      </c>
      <c r="N483" s="8">
        <f t="shared" ref="N483:N494" si="162">DATE(2019,7,15)</f>
        <v>43661</v>
      </c>
      <c r="O483" s="8">
        <f>DATE(2021,6,30)</f>
        <v>44377</v>
      </c>
      <c r="P483" s="1">
        <v>1258</v>
      </c>
      <c r="Q483" s="1">
        <v>1200</v>
      </c>
      <c r="R483" s="1">
        <f t="shared" si="142"/>
        <v>1200</v>
      </c>
      <c r="S483" s="1">
        <v>2.5</v>
      </c>
      <c r="U483" s="1">
        <f t="shared" si="143"/>
        <v>717</v>
      </c>
      <c r="V483" s="7">
        <f t="shared" si="144"/>
        <v>1.6736401673640167</v>
      </c>
      <c r="W483" s="7">
        <f t="shared" si="145"/>
        <v>610.87866108786613</v>
      </c>
      <c r="X483" s="7">
        <f t="shared" si="146"/>
        <v>0.76359832635983271</v>
      </c>
      <c r="AA483" s="8">
        <f t="shared" si="147"/>
        <v>44927</v>
      </c>
      <c r="AB483" s="8">
        <f t="shared" si="148"/>
        <v>45291</v>
      </c>
      <c r="AC483" s="1">
        <v>16</v>
      </c>
      <c r="AD483" s="1">
        <f t="shared" si="149"/>
        <v>0</v>
      </c>
      <c r="AE483" s="1">
        <f t="shared" si="150"/>
        <v>0</v>
      </c>
      <c r="AF483" s="1">
        <f t="shared" si="151"/>
        <v>0</v>
      </c>
      <c r="AG483" s="1">
        <f t="shared" si="152"/>
        <v>0</v>
      </c>
      <c r="AH483" s="1">
        <f t="shared" si="153"/>
        <v>182.5</v>
      </c>
      <c r="AI483" s="5">
        <f t="shared" si="154"/>
        <v>0.5</v>
      </c>
      <c r="AJ483" s="5">
        <f t="shared" si="155"/>
        <v>0.38179916317991636</v>
      </c>
      <c r="AK483" s="5">
        <f t="shared" si="156"/>
        <v>3.0543933054393309</v>
      </c>
      <c r="AL483" s="5">
        <f t="shared" si="157"/>
        <v>7.6359832635983267</v>
      </c>
      <c r="AM483" s="5">
        <f t="shared" si="158"/>
        <v>0</v>
      </c>
      <c r="AN483" s="5">
        <f t="shared" si="159"/>
        <v>7.6359832635983267</v>
      </c>
      <c r="AO483" s="1" t="s">
        <v>102</v>
      </c>
    </row>
    <row r="484" spans="1:41" x14ac:dyDescent="0.25">
      <c r="A484" s="1" t="s">
        <v>19</v>
      </c>
      <c r="B484" s="1" t="s">
        <v>37</v>
      </c>
      <c r="C484" s="1" t="s">
        <v>21</v>
      </c>
      <c r="D484" s="1" t="s">
        <v>38</v>
      </c>
      <c r="E484" s="1" t="s">
        <v>96</v>
      </c>
      <c r="F484" s="1" t="s">
        <v>103</v>
      </c>
      <c r="G484" s="1" t="s">
        <v>114</v>
      </c>
      <c r="H484" s="1" t="s">
        <v>569</v>
      </c>
      <c r="I484" s="1" t="s">
        <v>331</v>
      </c>
      <c r="J484" s="1" t="s">
        <v>101</v>
      </c>
      <c r="K484" s="1" t="s">
        <v>175</v>
      </c>
      <c r="L484" s="1">
        <v>2623335</v>
      </c>
      <c r="M484" s="1" t="s">
        <v>689</v>
      </c>
      <c r="N484" s="8">
        <f t="shared" si="162"/>
        <v>43661</v>
      </c>
      <c r="O484" s="8">
        <f>DATE(2021,6,30)</f>
        <v>44377</v>
      </c>
      <c r="P484" s="1">
        <v>1360</v>
      </c>
      <c r="Q484" s="1">
        <v>1200</v>
      </c>
      <c r="R484" s="1">
        <f t="shared" si="142"/>
        <v>1200</v>
      </c>
      <c r="S484" s="1">
        <v>2.5</v>
      </c>
      <c r="U484" s="1">
        <f t="shared" si="143"/>
        <v>717</v>
      </c>
      <c r="V484" s="7">
        <f t="shared" si="144"/>
        <v>1.6736401673640167</v>
      </c>
      <c r="W484" s="7">
        <f t="shared" si="145"/>
        <v>610.87866108786613</v>
      </c>
      <c r="X484" s="7">
        <f t="shared" si="146"/>
        <v>0.76359832635983271</v>
      </c>
      <c r="AA484" s="8">
        <f t="shared" si="147"/>
        <v>44927</v>
      </c>
      <c r="AB484" s="8">
        <f t="shared" si="148"/>
        <v>45291</v>
      </c>
      <c r="AC484" s="1">
        <v>3</v>
      </c>
      <c r="AD484" s="1">
        <f t="shared" si="149"/>
        <v>0</v>
      </c>
      <c r="AE484" s="1">
        <f t="shared" si="150"/>
        <v>0</v>
      </c>
      <c r="AF484" s="1">
        <f t="shared" si="151"/>
        <v>0</v>
      </c>
      <c r="AG484" s="1">
        <f t="shared" si="152"/>
        <v>0</v>
      </c>
      <c r="AH484" s="1">
        <f t="shared" si="153"/>
        <v>182.5</v>
      </c>
      <c r="AI484" s="5">
        <f t="shared" si="154"/>
        <v>0.5</v>
      </c>
      <c r="AJ484" s="5">
        <f t="shared" si="155"/>
        <v>0.38179916317991636</v>
      </c>
      <c r="AK484" s="5">
        <f t="shared" si="156"/>
        <v>0.57269874476987459</v>
      </c>
      <c r="AL484" s="5">
        <f t="shared" si="157"/>
        <v>1.4317468619246865</v>
      </c>
      <c r="AM484" s="5">
        <f t="shared" si="158"/>
        <v>0</v>
      </c>
      <c r="AN484" s="5">
        <f t="shared" si="159"/>
        <v>1.4317468619246865</v>
      </c>
      <c r="AO484" s="1" t="s">
        <v>102</v>
      </c>
    </row>
    <row r="485" spans="1:41" x14ac:dyDescent="0.25">
      <c r="A485" s="1" t="s">
        <v>19</v>
      </c>
      <c r="B485" s="1" t="s">
        <v>37</v>
      </c>
      <c r="C485" s="1" t="s">
        <v>21</v>
      </c>
      <c r="D485" s="1" t="s">
        <v>38</v>
      </c>
      <c r="E485" s="1" t="s">
        <v>96</v>
      </c>
      <c r="F485" s="1" t="s">
        <v>103</v>
      </c>
      <c r="G485" s="1" t="s">
        <v>114</v>
      </c>
      <c r="H485" s="1" t="s">
        <v>592</v>
      </c>
      <c r="I485" s="1" t="s">
        <v>210</v>
      </c>
      <c r="J485" s="1" t="s">
        <v>101</v>
      </c>
      <c r="K485" s="1" t="s">
        <v>175</v>
      </c>
      <c r="L485" s="1">
        <v>2623336</v>
      </c>
      <c r="M485" s="1" t="s">
        <v>690</v>
      </c>
      <c r="N485" s="8">
        <f t="shared" si="162"/>
        <v>43661</v>
      </c>
      <c r="O485" s="8">
        <f>DATE(2021,6,30)</f>
        <v>44377</v>
      </c>
      <c r="P485" s="1">
        <v>1707</v>
      </c>
      <c r="Q485" s="1">
        <v>1200</v>
      </c>
      <c r="R485" s="1">
        <f t="shared" si="142"/>
        <v>1200</v>
      </c>
      <c r="S485" s="1">
        <v>2.5</v>
      </c>
      <c r="U485" s="1">
        <f t="shared" si="143"/>
        <v>717</v>
      </c>
      <c r="V485" s="7">
        <f t="shared" si="144"/>
        <v>1.6736401673640167</v>
      </c>
      <c r="W485" s="7">
        <f t="shared" si="145"/>
        <v>610.87866108786613</v>
      </c>
      <c r="X485" s="7">
        <f t="shared" si="146"/>
        <v>0.76359832635983271</v>
      </c>
      <c r="AA485" s="8">
        <f t="shared" si="147"/>
        <v>44927</v>
      </c>
      <c r="AB485" s="8">
        <f t="shared" si="148"/>
        <v>45291</v>
      </c>
      <c r="AC485" s="1">
        <v>3</v>
      </c>
      <c r="AD485" s="1">
        <f t="shared" si="149"/>
        <v>0</v>
      </c>
      <c r="AE485" s="1">
        <f t="shared" si="150"/>
        <v>0</v>
      </c>
      <c r="AF485" s="1">
        <f t="shared" si="151"/>
        <v>0</v>
      </c>
      <c r="AG485" s="1">
        <f t="shared" si="152"/>
        <v>0</v>
      </c>
      <c r="AH485" s="1">
        <f t="shared" si="153"/>
        <v>182.5</v>
      </c>
      <c r="AI485" s="5">
        <f t="shared" si="154"/>
        <v>0.5</v>
      </c>
      <c r="AJ485" s="5">
        <f t="shared" si="155"/>
        <v>0.38179916317991636</v>
      </c>
      <c r="AK485" s="5">
        <f t="shared" si="156"/>
        <v>0.57269874476987459</v>
      </c>
      <c r="AL485" s="5">
        <f t="shared" si="157"/>
        <v>1.4317468619246865</v>
      </c>
      <c r="AM485" s="5">
        <f t="shared" si="158"/>
        <v>0</v>
      </c>
      <c r="AN485" s="5">
        <f t="shared" si="159"/>
        <v>1.4317468619246865</v>
      </c>
      <c r="AO485" s="1" t="s">
        <v>102</v>
      </c>
    </row>
    <row r="486" spans="1:41" x14ac:dyDescent="0.25">
      <c r="A486" s="1" t="s">
        <v>19</v>
      </c>
      <c r="B486" s="1" t="s">
        <v>37</v>
      </c>
      <c r="C486" s="1" t="s">
        <v>21</v>
      </c>
      <c r="D486" s="1" t="s">
        <v>38</v>
      </c>
      <c r="E486" s="1" t="s">
        <v>96</v>
      </c>
      <c r="F486" s="1" t="s">
        <v>103</v>
      </c>
      <c r="G486" s="1" t="s">
        <v>114</v>
      </c>
      <c r="H486" s="1" t="s">
        <v>590</v>
      </c>
      <c r="I486" s="1" t="s">
        <v>210</v>
      </c>
      <c r="J486" s="1" t="s">
        <v>101</v>
      </c>
      <c r="K486" s="1" t="s">
        <v>175</v>
      </c>
      <c r="L486" s="1">
        <v>2623337</v>
      </c>
      <c r="M486" s="1" t="s">
        <v>691</v>
      </c>
      <c r="N486" s="8">
        <f t="shared" si="162"/>
        <v>43661</v>
      </c>
      <c r="O486" s="8">
        <f>DATE(2021,6,30)</f>
        <v>44377</v>
      </c>
      <c r="P486" s="1">
        <v>1703</v>
      </c>
      <c r="Q486" s="1">
        <v>1200</v>
      </c>
      <c r="R486" s="1">
        <f t="shared" si="142"/>
        <v>1200</v>
      </c>
      <c r="S486" s="1">
        <v>2.5</v>
      </c>
      <c r="U486" s="1">
        <f t="shared" si="143"/>
        <v>717</v>
      </c>
      <c r="V486" s="7">
        <f t="shared" si="144"/>
        <v>1.6736401673640167</v>
      </c>
      <c r="W486" s="7">
        <f t="shared" si="145"/>
        <v>610.87866108786613</v>
      </c>
      <c r="X486" s="7">
        <f t="shared" si="146"/>
        <v>0.76359832635983271</v>
      </c>
      <c r="AA486" s="8">
        <f t="shared" si="147"/>
        <v>44927</v>
      </c>
      <c r="AB486" s="8">
        <f t="shared" si="148"/>
        <v>45291</v>
      </c>
      <c r="AC486" s="1">
        <v>3</v>
      </c>
      <c r="AD486" s="1">
        <f t="shared" si="149"/>
        <v>0</v>
      </c>
      <c r="AE486" s="1">
        <f t="shared" si="150"/>
        <v>0</v>
      </c>
      <c r="AF486" s="1">
        <f t="shared" si="151"/>
        <v>0</v>
      </c>
      <c r="AG486" s="1">
        <f t="shared" si="152"/>
        <v>0</v>
      </c>
      <c r="AH486" s="1">
        <f t="shared" si="153"/>
        <v>182.5</v>
      </c>
      <c r="AI486" s="5">
        <f t="shared" si="154"/>
        <v>0.5</v>
      </c>
      <c r="AJ486" s="5">
        <f t="shared" si="155"/>
        <v>0.38179916317991636</v>
      </c>
      <c r="AK486" s="5">
        <f t="shared" si="156"/>
        <v>0.57269874476987459</v>
      </c>
      <c r="AL486" s="5">
        <f t="shared" si="157"/>
        <v>1.4317468619246865</v>
      </c>
      <c r="AM486" s="5">
        <f t="shared" si="158"/>
        <v>0</v>
      </c>
      <c r="AN486" s="5">
        <f t="shared" si="159"/>
        <v>1.4317468619246865</v>
      </c>
      <c r="AO486" s="1" t="s">
        <v>102</v>
      </c>
    </row>
    <row r="487" spans="1:41" x14ac:dyDescent="0.25">
      <c r="A487" s="1" t="s">
        <v>19</v>
      </c>
      <c r="B487" s="1" t="s">
        <v>37</v>
      </c>
      <c r="C487" s="1" t="s">
        <v>21</v>
      </c>
      <c r="D487" s="1" t="s">
        <v>38</v>
      </c>
      <c r="E487" s="1" t="s">
        <v>96</v>
      </c>
      <c r="F487" s="1" t="s">
        <v>103</v>
      </c>
      <c r="G487" s="1" t="s">
        <v>98</v>
      </c>
      <c r="H487" s="1" t="s">
        <v>537</v>
      </c>
      <c r="I487" s="1" t="s">
        <v>162</v>
      </c>
      <c r="J487" s="1" t="s">
        <v>101</v>
      </c>
      <c r="L487" s="1">
        <v>2624306</v>
      </c>
      <c r="M487" s="1" t="s">
        <v>692</v>
      </c>
      <c r="N487" s="8">
        <f t="shared" si="162"/>
        <v>43661</v>
      </c>
      <c r="O487" s="8">
        <f>DATE(2024,6,28)</f>
        <v>45471</v>
      </c>
      <c r="P487" s="1">
        <v>4280</v>
      </c>
      <c r="Q487" s="1">
        <v>3200</v>
      </c>
      <c r="R487" s="1">
        <f t="shared" si="142"/>
        <v>3200</v>
      </c>
      <c r="S487" s="1">
        <v>2.5</v>
      </c>
      <c r="U487" s="1">
        <f t="shared" si="143"/>
        <v>1811</v>
      </c>
      <c r="V487" s="7">
        <f t="shared" si="144"/>
        <v>1.76697956929873</v>
      </c>
      <c r="W487" s="7">
        <f t="shared" si="145"/>
        <v>644.94754279403651</v>
      </c>
      <c r="X487" s="7">
        <f t="shared" si="146"/>
        <v>0.80618442849254568</v>
      </c>
      <c r="AA487" s="8">
        <f t="shared" si="147"/>
        <v>44927</v>
      </c>
      <c r="AB487" s="8">
        <f t="shared" si="148"/>
        <v>45291</v>
      </c>
      <c r="AC487" s="1">
        <v>19</v>
      </c>
      <c r="AD487" s="1">
        <f t="shared" si="149"/>
        <v>365</v>
      </c>
      <c r="AE487" s="1">
        <f t="shared" si="150"/>
        <v>0</v>
      </c>
      <c r="AF487" s="1">
        <f t="shared" si="151"/>
        <v>0</v>
      </c>
      <c r="AG487" s="1">
        <f t="shared" si="152"/>
        <v>0</v>
      </c>
      <c r="AH487" s="1">
        <f t="shared" si="153"/>
        <v>0</v>
      </c>
      <c r="AI487" s="5">
        <f t="shared" si="154"/>
        <v>1</v>
      </c>
      <c r="AJ487" s="5">
        <f t="shared" si="155"/>
        <v>0.80618442849254568</v>
      </c>
      <c r="AK487" s="5">
        <f t="shared" si="156"/>
        <v>15.317504141358368</v>
      </c>
      <c r="AL487" s="5">
        <f t="shared" si="157"/>
        <v>38.293760353395918</v>
      </c>
      <c r="AM487" s="5">
        <f t="shared" si="158"/>
        <v>0</v>
      </c>
      <c r="AN487" s="5">
        <f t="shared" si="159"/>
        <v>38.293760353395918</v>
      </c>
      <c r="AO487" s="1" t="s">
        <v>102</v>
      </c>
    </row>
    <row r="488" spans="1:41" x14ac:dyDescent="0.25">
      <c r="A488" s="1" t="s">
        <v>19</v>
      </c>
      <c r="B488" s="1" t="s">
        <v>37</v>
      </c>
      <c r="C488" s="1" t="s">
        <v>21</v>
      </c>
      <c r="D488" s="1" t="s">
        <v>38</v>
      </c>
      <c r="E488" s="1" t="s">
        <v>96</v>
      </c>
      <c r="F488" s="1" t="s">
        <v>103</v>
      </c>
      <c r="G488" s="1" t="s">
        <v>98</v>
      </c>
      <c r="H488" s="1" t="s">
        <v>542</v>
      </c>
      <c r="I488" s="1" t="s">
        <v>210</v>
      </c>
      <c r="J488" s="1" t="s">
        <v>101</v>
      </c>
      <c r="L488" s="1">
        <v>2624307</v>
      </c>
      <c r="M488" s="1" t="s">
        <v>693</v>
      </c>
      <c r="N488" s="8">
        <f t="shared" si="162"/>
        <v>43661</v>
      </c>
      <c r="O488" s="8">
        <f>DATE(2024,6,28)</f>
        <v>45471</v>
      </c>
      <c r="P488" s="1">
        <v>4430</v>
      </c>
      <c r="Q488" s="1">
        <v>3600</v>
      </c>
      <c r="R488" s="1">
        <f t="shared" si="142"/>
        <v>3600</v>
      </c>
      <c r="S488" s="1">
        <v>2.5</v>
      </c>
      <c r="U488" s="1">
        <f t="shared" si="143"/>
        <v>1811</v>
      </c>
      <c r="V488" s="7">
        <f t="shared" si="144"/>
        <v>1.9878520154610713</v>
      </c>
      <c r="W488" s="7">
        <f t="shared" si="145"/>
        <v>725.56598564329101</v>
      </c>
      <c r="X488" s="7">
        <f t="shared" si="146"/>
        <v>0.90695748205411375</v>
      </c>
      <c r="AA488" s="8">
        <f t="shared" si="147"/>
        <v>44927</v>
      </c>
      <c r="AB488" s="8">
        <f t="shared" si="148"/>
        <v>45291</v>
      </c>
      <c r="AC488" s="1">
        <v>14</v>
      </c>
      <c r="AD488" s="1">
        <f t="shared" si="149"/>
        <v>365</v>
      </c>
      <c r="AE488" s="1">
        <f t="shared" si="150"/>
        <v>0</v>
      </c>
      <c r="AF488" s="1">
        <f t="shared" si="151"/>
        <v>0</v>
      </c>
      <c r="AG488" s="1">
        <f t="shared" si="152"/>
        <v>0</v>
      </c>
      <c r="AH488" s="1">
        <f t="shared" si="153"/>
        <v>0</v>
      </c>
      <c r="AI488" s="5">
        <f t="shared" si="154"/>
        <v>1</v>
      </c>
      <c r="AJ488" s="5">
        <f t="shared" si="155"/>
        <v>0.90695748205411375</v>
      </c>
      <c r="AK488" s="5">
        <f t="shared" si="156"/>
        <v>12.697404748757592</v>
      </c>
      <c r="AL488" s="5">
        <f t="shared" si="157"/>
        <v>31.743511871893979</v>
      </c>
      <c r="AM488" s="5">
        <f t="shared" si="158"/>
        <v>0</v>
      </c>
      <c r="AN488" s="5">
        <f t="shared" si="159"/>
        <v>31.743511871893979</v>
      </c>
      <c r="AO488" s="1" t="s">
        <v>102</v>
      </c>
    </row>
    <row r="489" spans="1:41" x14ac:dyDescent="0.25">
      <c r="A489" s="1" t="s">
        <v>19</v>
      </c>
      <c r="B489" s="1" t="s">
        <v>37</v>
      </c>
      <c r="C489" s="1" t="s">
        <v>21</v>
      </c>
      <c r="D489" s="1" t="s">
        <v>38</v>
      </c>
      <c r="E489" s="1" t="s">
        <v>96</v>
      </c>
      <c r="F489" s="1" t="s">
        <v>103</v>
      </c>
      <c r="G489" s="1" t="s">
        <v>98</v>
      </c>
      <c r="H489" s="1" t="s">
        <v>523</v>
      </c>
      <c r="I489" s="1" t="s">
        <v>100</v>
      </c>
      <c r="J489" s="1" t="s">
        <v>101</v>
      </c>
      <c r="L489" s="1">
        <v>2624308</v>
      </c>
      <c r="M489" s="1" t="s">
        <v>694</v>
      </c>
      <c r="N489" s="8">
        <f t="shared" si="162"/>
        <v>43661</v>
      </c>
      <c r="O489" s="8">
        <f>DATE(2022,6,30)</f>
        <v>44742</v>
      </c>
      <c r="P489" s="1">
        <v>2587</v>
      </c>
      <c r="Q489" s="1">
        <v>2400</v>
      </c>
      <c r="R489" s="1">
        <f t="shared" si="142"/>
        <v>2400</v>
      </c>
      <c r="S489" s="1">
        <v>1</v>
      </c>
      <c r="U489" s="1">
        <f t="shared" si="143"/>
        <v>1082</v>
      </c>
      <c r="V489" s="7">
        <f t="shared" si="144"/>
        <v>2.2181146025878005</v>
      </c>
      <c r="W489" s="7">
        <f t="shared" si="145"/>
        <v>809.61182994454714</v>
      </c>
      <c r="X489" s="7">
        <f t="shared" si="146"/>
        <v>1.012014787430684</v>
      </c>
      <c r="AA489" s="8">
        <f t="shared" si="147"/>
        <v>44927</v>
      </c>
      <c r="AB489" s="8">
        <f t="shared" si="148"/>
        <v>45291</v>
      </c>
      <c r="AC489" s="1">
        <v>35</v>
      </c>
      <c r="AD489" s="1">
        <f t="shared" si="149"/>
        <v>0</v>
      </c>
      <c r="AE489" s="1">
        <f t="shared" si="150"/>
        <v>0</v>
      </c>
      <c r="AF489" s="1">
        <f t="shared" si="151"/>
        <v>0</v>
      </c>
      <c r="AG489" s="1">
        <f t="shared" si="152"/>
        <v>0</v>
      </c>
      <c r="AH489" s="1">
        <f t="shared" si="153"/>
        <v>182.5</v>
      </c>
      <c r="AI489" s="5">
        <f t="shared" si="154"/>
        <v>0.5</v>
      </c>
      <c r="AJ489" s="5">
        <f t="shared" si="155"/>
        <v>0.50600739371534198</v>
      </c>
      <c r="AK489" s="5">
        <f t="shared" si="156"/>
        <v>8.8551293900184849</v>
      </c>
      <c r="AL489" s="5">
        <f t="shared" si="157"/>
        <v>8.8551293900184849</v>
      </c>
      <c r="AM489" s="5">
        <f t="shared" si="158"/>
        <v>0</v>
      </c>
      <c r="AN489" s="5">
        <f t="shared" si="159"/>
        <v>8.8551293900184849</v>
      </c>
      <c r="AO489" s="1" t="s">
        <v>102</v>
      </c>
    </row>
    <row r="490" spans="1:41" x14ac:dyDescent="0.25">
      <c r="A490" s="1" t="s">
        <v>19</v>
      </c>
      <c r="B490" s="1" t="s">
        <v>37</v>
      </c>
      <c r="C490" s="1" t="s">
        <v>21</v>
      </c>
      <c r="D490" s="1" t="s">
        <v>38</v>
      </c>
      <c r="E490" s="1" t="s">
        <v>96</v>
      </c>
      <c r="F490" s="1" t="s">
        <v>103</v>
      </c>
      <c r="G490" s="1" t="s">
        <v>98</v>
      </c>
      <c r="H490" s="1" t="s">
        <v>566</v>
      </c>
      <c r="I490" s="1" t="s">
        <v>336</v>
      </c>
      <c r="J490" s="1" t="s">
        <v>101</v>
      </c>
      <c r="L490" s="1">
        <v>2624309</v>
      </c>
      <c r="M490" s="1" t="s">
        <v>695</v>
      </c>
      <c r="N490" s="8">
        <f t="shared" si="162"/>
        <v>43661</v>
      </c>
      <c r="O490" s="8">
        <f>DATE(2022,6,30)</f>
        <v>44742</v>
      </c>
      <c r="P490" s="1">
        <v>2668</v>
      </c>
      <c r="Q490" s="1">
        <v>2400</v>
      </c>
      <c r="R490" s="1">
        <f t="shared" si="142"/>
        <v>2400</v>
      </c>
      <c r="S490" s="1">
        <v>1</v>
      </c>
      <c r="U490" s="1">
        <f t="shared" si="143"/>
        <v>1082</v>
      </c>
      <c r="V490" s="7">
        <f t="shared" si="144"/>
        <v>2.2181146025878005</v>
      </c>
      <c r="W490" s="7">
        <f t="shared" si="145"/>
        <v>809.61182994454714</v>
      </c>
      <c r="X490" s="7">
        <f t="shared" si="146"/>
        <v>1.012014787430684</v>
      </c>
      <c r="AA490" s="8">
        <f t="shared" si="147"/>
        <v>44927</v>
      </c>
      <c r="AB490" s="8">
        <f t="shared" si="148"/>
        <v>45291</v>
      </c>
      <c r="AC490" s="1">
        <v>40</v>
      </c>
      <c r="AD490" s="1">
        <f t="shared" si="149"/>
        <v>0</v>
      </c>
      <c r="AE490" s="1">
        <f t="shared" si="150"/>
        <v>0</v>
      </c>
      <c r="AF490" s="1">
        <f t="shared" si="151"/>
        <v>0</v>
      </c>
      <c r="AG490" s="1">
        <f t="shared" si="152"/>
        <v>0</v>
      </c>
      <c r="AH490" s="1">
        <f t="shared" si="153"/>
        <v>182.5</v>
      </c>
      <c r="AI490" s="5">
        <f t="shared" si="154"/>
        <v>0.5</v>
      </c>
      <c r="AJ490" s="5">
        <f t="shared" si="155"/>
        <v>0.50600739371534198</v>
      </c>
      <c r="AK490" s="5">
        <f t="shared" si="156"/>
        <v>10.12014787430684</v>
      </c>
      <c r="AL490" s="5">
        <f t="shared" si="157"/>
        <v>10.12014787430684</v>
      </c>
      <c r="AM490" s="5">
        <f t="shared" si="158"/>
        <v>0</v>
      </c>
      <c r="AN490" s="5">
        <f t="shared" si="159"/>
        <v>10.12014787430684</v>
      </c>
      <c r="AO490" s="1" t="s">
        <v>102</v>
      </c>
    </row>
    <row r="491" spans="1:41" x14ac:dyDescent="0.25">
      <c r="A491" s="1" t="s">
        <v>19</v>
      </c>
      <c r="B491" s="1" t="s">
        <v>37</v>
      </c>
      <c r="C491" s="1" t="s">
        <v>21</v>
      </c>
      <c r="D491" s="1" t="s">
        <v>38</v>
      </c>
      <c r="E491" s="1" t="s">
        <v>96</v>
      </c>
      <c r="F491" s="1" t="s">
        <v>103</v>
      </c>
      <c r="G491" s="1" t="s">
        <v>127</v>
      </c>
      <c r="H491" s="1" t="s">
        <v>525</v>
      </c>
      <c r="I491" s="1" t="s">
        <v>331</v>
      </c>
      <c r="J491" s="1" t="s">
        <v>101</v>
      </c>
      <c r="L491" s="1">
        <v>2624310</v>
      </c>
      <c r="M491" s="1" t="s">
        <v>696</v>
      </c>
      <c r="N491" s="8">
        <f t="shared" si="162"/>
        <v>43661</v>
      </c>
      <c r="O491" s="8">
        <f>DATE(2022,12,23)</f>
        <v>44918</v>
      </c>
      <c r="P491" s="1">
        <v>2750</v>
      </c>
      <c r="Q491" s="1">
        <v>2400</v>
      </c>
      <c r="R491" s="1">
        <f t="shared" si="142"/>
        <v>2400</v>
      </c>
      <c r="S491" s="1">
        <v>2.5</v>
      </c>
      <c r="U491" s="1">
        <f t="shared" si="143"/>
        <v>1258</v>
      </c>
      <c r="V491" s="7">
        <f t="shared" si="144"/>
        <v>1.9077901430842608</v>
      </c>
      <c r="W491" s="7">
        <f t="shared" si="145"/>
        <v>696.3434022257552</v>
      </c>
      <c r="X491" s="7">
        <f t="shared" si="146"/>
        <v>0.87042925278219396</v>
      </c>
      <c r="AA491" s="8">
        <f t="shared" si="147"/>
        <v>44927</v>
      </c>
      <c r="AB491" s="8">
        <f t="shared" si="148"/>
        <v>45291</v>
      </c>
      <c r="AC491" s="1">
        <v>5</v>
      </c>
      <c r="AD491" s="1">
        <f t="shared" si="149"/>
        <v>0</v>
      </c>
      <c r="AE491" s="1">
        <f t="shared" si="150"/>
        <v>0</v>
      </c>
      <c r="AF491" s="1">
        <f t="shared" si="151"/>
        <v>0</v>
      </c>
      <c r="AG491" s="1">
        <f t="shared" si="152"/>
        <v>0</v>
      </c>
      <c r="AH491" s="1">
        <f t="shared" si="153"/>
        <v>182.5</v>
      </c>
      <c r="AI491" s="5">
        <f t="shared" si="154"/>
        <v>0.5</v>
      </c>
      <c r="AJ491" s="5">
        <f t="shared" si="155"/>
        <v>0.43521462639109698</v>
      </c>
      <c r="AK491" s="5">
        <f t="shared" si="156"/>
        <v>1.0880365659777425</v>
      </c>
      <c r="AL491" s="5">
        <f t="shared" si="157"/>
        <v>2.7200914149443562</v>
      </c>
      <c r="AM491" s="5">
        <f t="shared" si="158"/>
        <v>0</v>
      </c>
      <c r="AN491" s="5">
        <f t="shared" si="159"/>
        <v>2.7200914149443562</v>
      </c>
      <c r="AO491" s="1" t="s">
        <v>102</v>
      </c>
    </row>
    <row r="492" spans="1:41" x14ac:dyDescent="0.25">
      <c r="A492" s="1" t="s">
        <v>19</v>
      </c>
      <c r="B492" s="1" t="s">
        <v>37</v>
      </c>
      <c r="C492" s="1" t="s">
        <v>21</v>
      </c>
      <c r="D492" s="1" t="s">
        <v>38</v>
      </c>
      <c r="E492" s="1" t="s">
        <v>96</v>
      </c>
      <c r="F492" s="1" t="s">
        <v>103</v>
      </c>
      <c r="G492" s="1" t="s">
        <v>127</v>
      </c>
      <c r="H492" s="1" t="s">
        <v>555</v>
      </c>
      <c r="I492" s="1" t="s">
        <v>331</v>
      </c>
      <c r="J492" s="1" t="s">
        <v>101</v>
      </c>
      <c r="L492" s="1">
        <v>2624311</v>
      </c>
      <c r="M492" s="1" t="s">
        <v>697</v>
      </c>
      <c r="N492" s="8">
        <f t="shared" si="162"/>
        <v>43661</v>
      </c>
      <c r="O492" s="8">
        <f>DATE(2022,12,23)</f>
        <v>44918</v>
      </c>
      <c r="P492" s="1">
        <v>2642</v>
      </c>
      <c r="Q492" s="1">
        <v>2400</v>
      </c>
      <c r="R492" s="1">
        <f t="shared" si="142"/>
        <v>2400</v>
      </c>
      <c r="S492" s="1">
        <v>2.5</v>
      </c>
      <c r="U492" s="1">
        <f t="shared" si="143"/>
        <v>1258</v>
      </c>
      <c r="V492" s="7">
        <f t="shared" si="144"/>
        <v>1.9077901430842608</v>
      </c>
      <c r="W492" s="7">
        <f t="shared" si="145"/>
        <v>696.3434022257552</v>
      </c>
      <c r="X492" s="7">
        <f t="shared" si="146"/>
        <v>0.87042925278219396</v>
      </c>
      <c r="AA492" s="8">
        <f t="shared" si="147"/>
        <v>44927</v>
      </c>
      <c r="AB492" s="8">
        <f t="shared" si="148"/>
        <v>45291</v>
      </c>
      <c r="AC492" s="1">
        <v>19</v>
      </c>
      <c r="AD492" s="1">
        <f t="shared" si="149"/>
        <v>0</v>
      </c>
      <c r="AE492" s="1">
        <f t="shared" si="150"/>
        <v>0</v>
      </c>
      <c r="AF492" s="1">
        <f t="shared" si="151"/>
        <v>0</v>
      </c>
      <c r="AG492" s="1">
        <f t="shared" si="152"/>
        <v>0</v>
      </c>
      <c r="AH492" s="1">
        <f t="shared" si="153"/>
        <v>182.5</v>
      </c>
      <c r="AI492" s="5">
        <f t="shared" si="154"/>
        <v>0.5</v>
      </c>
      <c r="AJ492" s="5">
        <f t="shared" si="155"/>
        <v>0.43521462639109698</v>
      </c>
      <c r="AK492" s="5">
        <f t="shared" si="156"/>
        <v>4.1345389507154211</v>
      </c>
      <c r="AL492" s="5">
        <f t="shared" si="157"/>
        <v>10.336347376788552</v>
      </c>
      <c r="AM492" s="5">
        <f t="shared" si="158"/>
        <v>0</v>
      </c>
      <c r="AN492" s="5">
        <f t="shared" si="159"/>
        <v>10.336347376788552</v>
      </c>
      <c r="AO492" s="1" t="s">
        <v>102</v>
      </c>
    </row>
    <row r="493" spans="1:41" x14ac:dyDescent="0.25">
      <c r="A493" s="1" t="s">
        <v>19</v>
      </c>
      <c r="B493" s="1" t="s">
        <v>37</v>
      </c>
      <c r="C493" s="1" t="s">
        <v>21</v>
      </c>
      <c r="D493" s="1" t="s">
        <v>38</v>
      </c>
      <c r="E493" s="1" t="s">
        <v>96</v>
      </c>
      <c r="F493" s="1" t="s">
        <v>103</v>
      </c>
      <c r="G493" s="1" t="s">
        <v>127</v>
      </c>
      <c r="H493" s="1" t="s">
        <v>562</v>
      </c>
      <c r="I493" s="1" t="s">
        <v>331</v>
      </c>
      <c r="J493" s="1" t="s">
        <v>101</v>
      </c>
      <c r="L493" s="1">
        <v>2624312</v>
      </c>
      <c r="M493" s="1" t="s">
        <v>698</v>
      </c>
      <c r="N493" s="8">
        <f t="shared" si="162"/>
        <v>43661</v>
      </c>
      <c r="O493" s="8">
        <f>DATE(2022,6,30)</f>
        <v>44742</v>
      </c>
      <c r="P493" s="1">
        <v>2548</v>
      </c>
      <c r="Q493" s="1">
        <v>2400</v>
      </c>
      <c r="R493" s="1">
        <f t="shared" si="142"/>
        <v>2400</v>
      </c>
      <c r="S493" s="1">
        <v>2.5</v>
      </c>
      <c r="U493" s="1">
        <f t="shared" si="143"/>
        <v>1082</v>
      </c>
      <c r="V493" s="7">
        <f t="shared" si="144"/>
        <v>2.2181146025878005</v>
      </c>
      <c r="W493" s="7">
        <f t="shared" si="145"/>
        <v>809.61182994454714</v>
      </c>
      <c r="X493" s="7">
        <f t="shared" si="146"/>
        <v>1.012014787430684</v>
      </c>
      <c r="AA493" s="8">
        <f t="shared" si="147"/>
        <v>44927</v>
      </c>
      <c r="AB493" s="8">
        <f t="shared" si="148"/>
        <v>45291</v>
      </c>
      <c r="AC493" s="1">
        <v>8</v>
      </c>
      <c r="AD493" s="1">
        <f t="shared" si="149"/>
        <v>0</v>
      </c>
      <c r="AE493" s="1">
        <f t="shared" si="150"/>
        <v>0</v>
      </c>
      <c r="AF493" s="1">
        <f t="shared" si="151"/>
        <v>0</v>
      </c>
      <c r="AG493" s="1">
        <f t="shared" si="152"/>
        <v>0</v>
      </c>
      <c r="AH493" s="1">
        <f t="shared" si="153"/>
        <v>182.5</v>
      </c>
      <c r="AI493" s="5">
        <f t="shared" si="154"/>
        <v>0.5</v>
      </c>
      <c r="AJ493" s="5">
        <f t="shared" si="155"/>
        <v>0.50600739371534198</v>
      </c>
      <c r="AK493" s="5">
        <f t="shared" si="156"/>
        <v>2.0240295748613679</v>
      </c>
      <c r="AL493" s="5">
        <f t="shared" si="157"/>
        <v>5.0600739371534198</v>
      </c>
      <c r="AM493" s="5">
        <f t="shared" si="158"/>
        <v>0</v>
      </c>
      <c r="AN493" s="5">
        <f t="shared" si="159"/>
        <v>5.0600739371534198</v>
      </c>
      <c r="AO493" s="1" t="s">
        <v>102</v>
      </c>
    </row>
    <row r="494" spans="1:41" x14ac:dyDescent="0.25">
      <c r="A494" s="1" t="s">
        <v>19</v>
      </c>
      <c r="B494" s="1" t="s">
        <v>37</v>
      </c>
      <c r="C494" s="1" t="s">
        <v>21</v>
      </c>
      <c r="D494" s="1" t="s">
        <v>38</v>
      </c>
      <c r="E494" s="1" t="s">
        <v>96</v>
      </c>
      <c r="F494" s="1" t="s">
        <v>103</v>
      </c>
      <c r="G494" s="1" t="s">
        <v>127</v>
      </c>
      <c r="H494" s="1" t="s">
        <v>518</v>
      </c>
      <c r="I494" s="1" t="s">
        <v>162</v>
      </c>
      <c r="J494" s="1" t="s">
        <v>101</v>
      </c>
      <c r="L494" s="1">
        <v>2624313</v>
      </c>
      <c r="M494" s="1" t="s">
        <v>699</v>
      </c>
      <c r="N494" s="8">
        <f t="shared" si="162"/>
        <v>43661</v>
      </c>
      <c r="O494" s="8">
        <f>DATE(2022,6,30)</f>
        <v>44742</v>
      </c>
      <c r="P494" s="1">
        <v>2062</v>
      </c>
      <c r="Q494" s="1">
        <v>2000</v>
      </c>
      <c r="R494" s="1">
        <f t="shared" si="142"/>
        <v>2000</v>
      </c>
      <c r="S494" s="1">
        <v>1.5</v>
      </c>
      <c r="U494" s="1">
        <f t="shared" si="143"/>
        <v>1082</v>
      </c>
      <c r="V494" s="7">
        <f t="shared" si="144"/>
        <v>1.8484288354898337</v>
      </c>
      <c r="W494" s="7">
        <f t="shared" si="145"/>
        <v>674.67652495378934</v>
      </c>
      <c r="X494" s="7">
        <f t="shared" si="146"/>
        <v>0.84334565619223667</v>
      </c>
      <c r="AA494" s="8">
        <f t="shared" si="147"/>
        <v>44927</v>
      </c>
      <c r="AB494" s="8">
        <f t="shared" si="148"/>
        <v>45291</v>
      </c>
      <c r="AC494" s="1">
        <v>21</v>
      </c>
      <c r="AD494" s="1">
        <f t="shared" si="149"/>
        <v>0</v>
      </c>
      <c r="AE494" s="1">
        <f t="shared" si="150"/>
        <v>0</v>
      </c>
      <c r="AF494" s="1">
        <f t="shared" si="151"/>
        <v>0</v>
      </c>
      <c r="AG494" s="1">
        <f t="shared" si="152"/>
        <v>0</v>
      </c>
      <c r="AH494" s="1">
        <f t="shared" si="153"/>
        <v>182.5</v>
      </c>
      <c r="AI494" s="5">
        <f t="shared" si="154"/>
        <v>0.5</v>
      </c>
      <c r="AJ494" s="5">
        <f t="shared" si="155"/>
        <v>0.42167282809611834</v>
      </c>
      <c r="AK494" s="5">
        <f t="shared" si="156"/>
        <v>4.4275646950092424</v>
      </c>
      <c r="AL494" s="5">
        <f t="shared" si="157"/>
        <v>6.6413470425138641</v>
      </c>
      <c r="AM494" s="5">
        <f t="shared" si="158"/>
        <v>0</v>
      </c>
      <c r="AN494" s="5">
        <f t="shared" si="159"/>
        <v>6.6413470425138641</v>
      </c>
      <c r="AO494" s="1" t="s">
        <v>102</v>
      </c>
    </row>
    <row r="495" spans="1:41" x14ac:dyDescent="0.25">
      <c r="A495" s="1" t="s">
        <v>19</v>
      </c>
      <c r="B495" s="1" t="s">
        <v>37</v>
      </c>
      <c r="C495" s="1" t="s">
        <v>21</v>
      </c>
      <c r="D495" s="1" t="s">
        <v>38</v>
      </c>
      <c r="E495" s="1" t="s">
        <v>172</v>
      </c>
      <c r="F495" s="1" t="s">
        <v>534</v>
      </c>
      <c r="G495" s="1" t="s">
        <v>185</v>
      </c>
      <c r="H495" s="1" t="s">
        <v>620</v>
      </c>
      <c r="I495" s="1" t="s">
        <v>162</v>
      </c>
      <c r="J495" s="1" t="s">
        <v>101</v>
      </c>
      <c r="L495" s="1">
        <v>2624751</v>
      </c>
      <c r="M495" s="1" t="s">
        <v>700</v>
      </c>
      <c r="N495" s="8">
        <f>DATE(2019,7,25)</f>
        <v>43671</v>
      </c>
      <c r="O495" s="8">
        <f>DATE(2020,12,30)</f>
        <v>44195</v>
      </c>
      <c r="P495" s="1">
        <v>440</v>
      </c>
      <c r="Q495" s="1">
        <v>360</v>
      </c>
      <c r="R495" s="1">
        <f t="shared" si="142"/>
        <v>360</v>
      </c>
      <c r="S495" s="1">
        <v>1.5</v>
      </c>
      <c r="U495" s="1">
        <f t="shared" si="143"/>
        <v>525</v>
      </c>
      <c r="V495" s="7">
        <f t="shared" si="144"/>
        <v>0.68571428571428572</v>
      </c>
      <c r="W495" s="7">
        <f t="shared" si="145"/>
        <v>250.28571428571428</v>
      </c>
      <c r="X495" s="7">
        <f t="shared" si="146"/>
        <v>0.31285714285714283</v>
      </c>
      <c r="AA495" s="8">
        <f t="shared" si="147"/>
        <v>44927</v>
      </c>
      <c r="AB495" s="8">
        <f t="shared" si="148"/>
        <v>45291</v>
      </c>
      <c r="AC495" s="1">
        <v>82</v>
      </c>
      <c r="AD495" s="1">
        <f t="shared" si="149"/>
        <v>0</v>
      </c>
      <c r="AE495" s="1">
        <f t="shared" si="150"/>
        <v>0</v>
      </c>
      <c r="AF495" s="1">
        <f t="shared" si="151"/>
        <v>0</v>
      </c>
      <c r="AG495" s="1">
        <f t="shared" si="152"/>
        <v>0</v>
      </c>
      <c r="AH495" s="1">
        <f t="shared" si="153"/>
        <v>182.5</v>
      </c>
      <c r="AI495" s="5">
        <f t="shared" si="154"/>
        <v>0.5</v>
      </c>
      <c r="AJ495" s="5">
        <f t="shared" si="155"/>
        <v>0.15642857142857142</v>
      </c>
      <c r="AK495" s="5">
        <f t="shared" si="156"/>
        <v>6.4135714285714283</v>
      </c>
      <c r="AL495" s="5">
        <f t="shared" si="157"/>
        <v>9.6203571428571415</v>
      </c>
      <c r="AM495" s="5">
        <f t="shared" si="158"/>
        <v>0</v>
      </c>
      <c r="AN495" s="5">
        <f t="shared" si="159"/>
        <v>9.6203571428571415</v>
      </c>
      <c r="AO495" s="1" t="s">
        <v>111</v>
      </c>
    </row>
    <row r="496" spans="1:41" x14ac:dyDescent="0.25">
      <c r="A496" s="1" t="s">
        <v>19</v>
      </c>
      <c r="B496" s="1" t="s">
        <v>37</v>
      </c>
      <c r="C496" s="1" t="s">
        <v>21</v>
      </c>
      <c r="D496" s="1" t="s">
        <v>38</v>
      </c>
      <c r="E496" s="1" t="s">
        <v>172</v>
      </c>
      <c r="F496" s="1" t="s">
        <v>534</v>
      </c>
      <c r="G496" s="1" t="s">
        <v>127</v>
      </c>
      <c r="H496" s="1" t="s">
        <v>528</v>
      </c>
      <c r="I496" s="1" t="s">
        <v>162</v>
      </c>
      <c r="J496" s="1" t="s">
        <v>101</v>
      </c>
      <c r="L496" s="1">
        <v>2624772</v>
      </c>
      <c r="M496" s="1" t="s">
        <v>701</v>
      </c>
      <c r="N496" s="8">
        <f>DATE(2019,7,25)</f>
        <v>43671</v>
      </c>
      <c r="O496" s="8">
        <f>DATE(2022,7,30)</f>
        <v>44772</v>
      </c>
      <c r="P496" s="1">
        <v>2340</v>
      </c>
      <c r="Q496" s="1">
        <v>2000</v>
      </c>
      <c r="R496" s="1">
        <f t="shared" si="142"/>
        <v>2000</v>
      </c>
      <c r="S496" s="1">
        <v>1</v>
      </c>
      <c r="U496" s="1">
        <f t="shared" si="143"/>
        <v>1102</v>
      </c>
      <c r="V496" s="7">
        <f t="shared" si="144"/>
        <v>1.8148820326678765</v>
      </c>
      <c r="W496" s="7">
        <f t="shared" si="145"/>
        <v>662.43194192377496</v>
      </c>
      <c r="X496" s="7">
        <f t="shared" si="146"/>
        <v>0.82803992740471866</v>
      </c>
      <c r="AA496" s="8">
        <f t="shared" si="147"/>
        <v>44927</v>
      </c>
      <c r="AB496" s="8">
        <f t="shared" si="148"/>
        <v>45291</v>
      </c>
      <c r="AC496" s="1">
        <v>152</v>
      </c>
      <c r="AD496" s="1">
        <f t="shared" si="149"/>
        <v>0</v>
      </c>
      <c r="AE496" s="1">
        <f t="shared" si="150"/>
        <v>0</v>
      </c>
      <c r="AF496" s="1">
        <f t="shared" si="151"/>
        <v>0</v>
      </c>
      <c r="AG496" s="1">
        <f t="shared" si="152"/>
        <v>0</v>
      </c>
      <c r="AH496" s="1">
        <f t="shared" si="153"/>
        <v>182.5</v>
      </c>
      <c r="AI496" s="5">
        <f t="shared" si="154"/>
        <v>0.5</v>
      </c>
      <c r="AJ496" s="5">
        <f t="shared" si="155"/>
        <v>0.41401996370235933</v>
      </c>
      <c r="AK496" s="5">
        <f t="shared" si="156"/>
        <v>31.46551724137931</v>
      </c>
      <c r="AL496" s="5">
        <f t="shared" si="157"/>
        <v>31.46551724137931</v>
      </c>
      <c r="AM496" s="5">
        <f t="shared" si="158"/>
        <v>0</v>
      </c>
      <c r="AN496" s="5">
        <f t="shared" si="159"/>
        <v>31.46551724137931</v>
      </c>
      <c r="AO496" s="1" t="s">
        <v>111</v>
      </c>
    </row>
    <row r="497" spans="1:41" x14ac:dyDescent="0.25">
      <c r="A497" s="1" t="s">
        <v>19</v>
      </c>
      <c r="B497" s="1" t="s">
        <v>37</v>
      </c>
      <c r="C497" s="1" t="s">
        <v>21</v>
      </c>
      <c r="D497" s="1" t="s">
        <v>38</v>
      </c>
      <c r="E497" s="1" t="s">
        <v>96</v>
      </c>
      <c r="F497" s="1" t="s">
        <v>103</v>
      </c>
      <c r="G497" s="1" t="s">
        <v>702</v>
      </c>
      <c r="H497" s="1" t="s">
        <v>703</v>
      </c>
      <c r="I497" s="1" t="s">
        <v>174</v>
      </c>
      <c r="J497" s="1" t="s">
        <v>101</v>
      </c>
      <c r="L497" s="1">
        <v>2628046</v>
      </c>
      <c r="M497" s="1" t="s">
        <v>704</v>
      </c>
      <c r="N497" s="8">
        <f>DATE(2019,8,8)</f>
        <v>43685</v>
      </c>
      <c r="O497" s="8">
        <f>DATE(2021,8,6)</f>
        <v>44414</v>
      </c>
      <c r="P497" s="1">
        <v>480</v>
      </c>
      <c r="Q497" s="1">
        <v>360</v>
      </c>
      <c r="R497" s="1">
        <f t="shared" si="142"/>
        <v>360</v>
      </c>
      <c r="S497" s="1">
        <v>3.75</v>
      </c>
      <c r="U497" s="1">
        <f t="shared" si="143"/>
        <v>730</v>
      </c>
      <c r="V497" s="7">
        <f t="shared" si="144"/>
        <v>0.49315068493150682</v>
      </c>
      <c r="W497" s="7">
        <f t="shared" si="145"/>
        <v>180</v>
      </c>
      <c r="X497" s="7">
        <f t="shared" si="146"/>
        <v>0.22500000000000001</v>
      </c>
      <c r="AA497" s="8">
        <f t="shared" si="147"/>
        <v>44927</v>
      </c>
      <c r="AB497" s="8">
        <f t="shared" si="148"/>
        <v>45291</v>
      </c>
      <c r="AC497" s="1">
        <v>63</v>
      </c>
      <c r="AD497" s="1">
        <f t="shared" si="149"/>
        <v>0</v>
      </c>
      <c r="AE497" s="1">
        <f t="shared" si="150"/>
        <v>0</v>
      </c>
      <c r="AF497" s="1">
        <f t="shared" si="151"/>
        <v>0</v>
      </c>
      <c r="AG497" s="1">
        <f t="shared" si="152"/>
        <v>0</v>
      </c>
      <c r="AH497" s="1">
        <f t="shared" si="153"/>
        <v>182.5</v>
      </c>
      <c r="AI497" s="5">
        <f t="shared" si="154"/>
        <v>0.5</v>
      </c>
      <c r="AJ497" s="5">
        <f t="shared" si="155"/>
        <v>0.1125</v>
      </c>
      <c r="AK497" s="5">
        <f t="shared" si="156"/>
        <v>3.5437500000000002</v>
      </c>
      <c r="AL497" s="5">
        <f t="shared" si="157"/>
        <v>13.2890625</v>
      </c>
      <c r="AM497" s="5">
        <f t="shared" si="158"/>
        <v>0</v>
      </c>
      <c r="AN497" s="5">
        <f t="shared" si="159"/>
        <v>13.2890625</v>
      </c>
      <c r="AO497" s="1" t="s">
        <v>102</v>
      </c>
    </row>
    <row r="498" spans="1:41" x14ac:dyDescent="0.25">
      <c r="A498" s="1" t="s">
        <v>19</v>
      </c>
      <c r="B498" s="1" t="s">
        <v>37</v>
      </c>
      <c r="C498" s="1" t="s">
        <v>21</v>
      </c>
      <c r="D498" s="1" t="s">
        <v>38</v>
      </c>
      <c r="E498" s="1" t="s">
        <v>96</v>
      </c>
      <c r="F498" s="1" t="s">
        <v>103</v>
      </c>
      <c r="G498" s="1" t="s">
        <v>114</v>
      </c>
      <c r="H498" s="1" t="s">
        <v>574</v>
      </c>
      <c r="I498" s="1" t="s">
        <v>331</v>
      </c>
      <c r="J498" s="1" t="s">
        <v>101</v>
      </c>
      <c r="K498" s="1" t="s">
        <v>116</v>
      </c>
      <c r="L498" s="1">
        <v>2675498</v>
      </c>
      <c r="M498" s="1" t="s">
        <v>705</v>
      </c>
      <c r="N498" s="8">
        <f t="shared" ref="N498:N519" si="163">DATE(2020,2,3)</f>
        <v>43864</v>
      </c>
      <c r="O498" s="8">
        <f>DATE(2023,12,23)</f>
        <v>45283</v>
      </c>
      <c r="P498" s="1">
        <v>3672</v>
      </c>
      <c r="Q498" s="1">
        <v>1200</v>
      </c>
      <c r="R498" s="1">
        <f t="shared" si="142"/>
        <v>3200</v>
      </c>
      <c r="S498" s="1">
        <v>2.5</v>
      </c>
      <c r="U498" s="1">
        <f t="shared" si="143"/>
        <v>1420</v>
      </c>
      <c r="V498" s="7">
        <f t="shared" si="144"/>
        <v>2.2535211267605635</v>
      </c>
      <c r="W498" s="7">
        <f t="shared" si="145"/>
        <v>822.53521126760563</v>
      </c>
      <c r="X498" s="7">
        <f t="shared" si="146"/>
        <v>1.028169014084507</v>
      </c>
      <c r="AA498" s="8">
        <f t="shared" si="147"/>
        <v>44927</v>
      </c>
      <c r="AB498" s="8">
        <f t="shared" si="148"/>
        <v>45291</v>
      </c>
      <c r="AC498" s="1">
        <v>34</v>
      </c>
      <c r="AD498" s="1">
        <f t="shared" si="149"/>
        <v>0</v>
      </c>
      <c r="AE498" s="1">
        <f t="shared" si="150"/>
        <v>0</v>
      </c>
      <c r="AF498" s="1">
        <f t="shared" si="151"/>
        <v>357</v>
      </c>
      <c r="AG498" s="1">
        <f t="shared" si="152"/>
        <v>0</v>
      </c>
      <c r="AH498" s="1">
        <f t="shared" si="153"/>
        <v>0</v>
      </c>
      <c r="AI498" s="5">
        <f t="shared" si="154"/>
        <v>0.9780821917808219</v>
      </c>
      <c r="AJ498" s="5">
        <f t="shared" si="155"/>
        <v>1.0056338028169014</v>
      </c>
      <c r="AK498" s="5">
        <f t="shared" si="156"/>
        <v>34.191549295774649</v>
      </c>
      <c r="AL498" s="5">
        <f t="shared" si="157"/>
        <v>85.478873239436624</v>
      </c>
      <c r="AM498" s="5">
        <f t="shared" si="158"/>
        <v>0</v>
      </c>
      <c r="AN498" s="5">
        <f t="shared" si="159"/>
        <v>85.478873239436624</v>
      </c>
      <c r="AO498" s="1" t="s">
        <v>102</v>
      </c>
    </row>
    <row r="499" spans="1:41" x14ac:dyDescent="0.25">
      <c r="A499" s="1" t="s">
        <v>19</v>
      </c>
      <c r="B499" s="1" t="s">
        <v>37</v>
      </c>
      <c r="C499" s="1" t="s">
        <v>21</v>
      </c>
      <c r="D499" s="1" t="s">
        <v>38</v>
      </c>
      <c r="E499" s="1" t="s">
        <v>96</v>
      </c>
      <c r="F499" s="1" t="s">
        <v>103</v>
      </c>
      <c r="G499" s="1" t="s">
        <v>114</v>
      </c>
      <c r="H499" s="1" t="s">
        <v>577</v>
      </c>
      <c r="I499" s="1" t="s">
        <v>336</v>
      </c>
      <c r="J499" s="1" t="s">
        <v>101</v>
      </c>
      <c r="K499" s="1" t="s">
        <v>116</v>
      </c>
      <c r="L499" s="1">
        <v>2675499</v>
      </c>
      <c r="M499" s="1" t="s">
        <v>706</v>
      </c>
      <c r="N499" s="8">
        <f t="shared" si="163"/>
        <v>43864</v>
      </c>
      <c r="O499" s="8">
        <f>DATE(2022,12,23)</f>
        <v>44918</v>
      </c>
      <c r="P499" s="1">
        <v>3306</v>
      </c>
      <c r="Q499" s="1">
        <v>800</v>
      </c>
      <c r="R499" s="1">
        <f t="shared" si="142"/>
        <v>3000</v>
      </c>
      <c r="S499" s="1">
        <v>1.5</v>
      </c>
      <c r="U499" s="1">
        <f t="shared" si="143"/>
        <v>1055</v>
      </c>
      <c r="V499" s="7">
        <f t="shared" si="144"/>
        <v>2.8436018957345972</v>
      </c>
      <c r="W499" s="7">
        <f t="shared" si="145"/>
        <v>1037.914691943128</v>
      </c>
      <c r="X499" s="7">
        <f t="shared" si="146"/>
        <v>1.29739336492891</v>
      </c>
      <c r="AA499" s="8">
        <f t="shared" si="147"/>
        <v>44927</v>
      </c>
      <c r="AB499" s="8">
        <f t="shared" si="148"/>
        <v>45291</v>
      </c>
      <c r="AC499" s="1">
        <v>13</v>
      </c>
      <c r="AD499" s="1">
        <f t="shared" si="149"/>
        <v>0</v>
      </c>
      <c r="AE499" s="1">
        <f t="shared" si="150"/>
        <v>0</v>
      </c>
      <c r="AF499" s="1">
        <f t="shared" si="151"/>
        <v>0</v>
      </c>
      <c r="AG499" s="1">
        <f t="shared" si="152"/>
        <v>0</v>
      </c>
      <c r="AH499" s="1">
        <f t="shared" si="153"/>
        <v>182.5</v>
      </c>
      <c r="AI499" s="5">
        <f t="shared" si="154"/>
        <v>0.5</v>
      </c>
      <c r="AJ499" s="5">
        <f t="shared" si="155"/>
        <v>0.648696682464455</v>
      </c>
      <c r="AK499" s="5">
        <f t="shared" si="156"/>
        <v>4.2165284360189572</v>
      </c>
      <c r="AL499" s="5">
        <f t="shared" si="157"/>
        <v>6.3247926540284354</v>
      </c>
      <c r="AM499" s="5">
        <f t="shared" si="158"/>
        <v>0</v>
      </c>
      <c r="AN499" s="5">
        <f t="shared" si="159"/>
        <v>6.3247926540284354</v>
      </c>
      <c r="AO499" s="1" t="s">
        <v>102</v>
      </c>
    </row>
    <row r="500" spans="1:41" x14ac:dyDescent="0.25">
      <c r="A500" s="1" t="s">
        <v>19</v>
      </c>
      <c r="B500" s="1" t="s">
        <v>37</v>
      </c>
      <c r="C500" s="1" t="s">
        <v>21</v>
      </c>
      <c r="D500" s="1" t="s">
        <v>38</v>
      </c>
      <c r="E500" s="1" t="s">
        <v>96</v>
      </c>
      <c r="F500" s="1" t="s">
        <v>103</v>
      </c>
      <c r="G500" s="1" t="s">
        <v>114</v>
      </c>
      <c r="H500" s="1" t="s">
        <v>247</v>
      </c>
      <c r="I500" s="1" t="s">
        <v>162</v>
      </c>
      <c r="J500" s="1" t="s">
        <v>101</v>
      </c>
      <c r="K500" s="1" t="s">
        <v>116</v>
      </c>
      <c r="L500" s="1">
        <v>2675500</v>
      </c>
      <c r="M500" s="1" t="s">
        <v>707</v>
      </c>
      <c r="N500" s="8">
        <f t="shared" si="163"/>
        <v>43864</v>
      </c>
      <c r="O500" s="8">
        <f>DATE(2022,12,23)</f>
        <v>44918</v>
      </c>
      <c r="P500" s="1">
        <v>3740</v>
      </c>
      <c r="Q500" s="1">
        <v>1200</v>
      </c>
      <c r="R500" s="1">
        <f t="shared" si="142"/>
        <v>3200</v>
      </c>
      <c r="S500" s="1">
        <v>1.5</v>
      </c>
      <c r="U500" s="1">
        <f t="shared" si="143"/>
        <v>1055</v>
      </c>
      <c r="V500" s="7">
        <f t="shared" si="144"/>
        <v>3.0331753554502368</v>
      </c>
      <c r="W500" s="7">
        <f t="shared" si="145"/>
        <v>1107.1090047393363</v>
      </c>
      <c r="X500" s="7">
        <f t="shared" si="146"/>
        <v>1.3838862559241705</v>
      </c>
      <c r="AA500" s="8">
        <f t="shared" si="147"/>
        <v>44927</v>
      </c>
      <c r="AB500" s="8">
        <f t="shared" si="148"/>
        <v>45291</v>
      </c>
      <c r="AC500" s="1">
        <v>8</v>
      </c>
      <c r="AD500" s="1">
        <f t="shared" si="149"/>
        <v>0</v>
      </c>
      <c r="AE500" s="1">
        <f t="shared" si="150"/>
        <v>0</v>
      </c>
      <c r="AF500" s="1">
        <f t="shared" si="151"/>
        <v>0</v>
      </c>
      <c r="AG500" s="1">
        <f t="shared" si="152"/>
        <v>0</v>
      </c>
      <c r="AH500" s="1">
        <f t="shared" si="153"/>
        <v>182.5</v>
      </c>
      <c r="AI500" s="5">
        <f t="shared" si="154"/>
        <v>0.5</v>
      </c>
      <c r="AJ500" s="5">
        <f t="shared" si="155"/>
        <v>0.69194312796208524</v>
      </c>
      <c r="AK500" s="5">
        <f t="shared" si="156"/>
        <v>2.7677725118483409</v>
      </c>
      <c r="AL500" s="5">
        <f t="shared" si="157"/>
        <v>4.1516587677725116</v>
      </c>
      <c r="AM500" s="5">
        <f t="shared" si="158"/>
        <v>0</v>
      </c>
      <c r="AN500" s="5">
        <f t="shared" si="159"/>
        <v>4.1516587677725116</v>
      </c>
      <c r="AO500" s="1" t="s">
        <v>102</v>
      </c>
    </row>
    <row r="501" spans="1:41" x14ac:dyDescent="0.25">
      <c r="A501" s="1" t="s">
        <v>19</v>
      </c>
      <c r="B501" s="1" t="s">
        <v>37</v>
      </c>
      <c r="C501" s="1" t="s">
        <v>21</v>
      </c>
      <c r="D501" s="1" t="s">
        <v>38</v>
      </c>
      <c r="E501" s="1" t="s">
        <v>96</v>
      </c>
      <c r="F501" s="1" t="s">
        <v>103</v>
      </c>
      <c r="G501" s="1" t="s">
        <v>114</v>
      </c>
      <c r="H501" s="1" t="s">
        <v>260</v>
      </c>
      <c r="I501" s="1" t="s">
        <v>100</v>
      </c>
      <c r="J501" s="1" t="s">
        <v>101</v>
      </c>
      <c r="K501" s="1" t="s">
        <v>116</v>
      </c>
      <c r="L501" s="1">
        <v>2675501</v>
      </c>
      <c r="M501" s="1" t="s">
        <v>708</v>
      </c>
      <c r="N501" s="8">
        <f t="shared" si="163"/>
        <v>43864</v>
      </c>
      <c r="O501" s="8">
        <f>DATE(2022,12,23)</f>
        <v>44918</v>
      </c>
      <c r="P501" s="1">
        <v>3973</v>
      </c>
      <c r="Q501" s="1">
        <v>800</v>
      </c>
      <c r="R501" s="1">
        <f t="shared" si="142"/>
        <v>3000</v>
      </c>
      <c r="S501" s="1">
        <v>1.5</v>
      </c>
      <c r="U501" s="1">
        <f t="shared" si="143"/>
        <v>1055</v>
      </c>
      <c r="V501" s="7">
        <f t="shared" si="144"/>
        <v>2.8436018957345972</v>
      </c>
      <c r="W501" s="7">
        <f t="shared" si="145"/>
        <v>1037.914691943128</v>
      </c>
      <c r="X501" s="7">
        <f t="shared" si="146"/>
        <v>1.29739336492891</v>
      </c>
      <c r="AA501" s="8">
        <f t="shared" si="147"/>
        <v>44927</v>
      </c>
      <c r="AB501" s="8">
        <f t="shared" si="148"/>
        <v>45291</v>
      </c>
      <c r="AC501" s="1">
        <v>24</v>
      </c>
      <c r="AD501" s="1">
        <f t="shared" si="149"/>
        <v>0</v>
      </c>
      <c r="AE501" s="1">
        <f t="shared" si="150"/>
        <v>0</v>
      </c>
      <c r="AF501" s="1">
        <f t="shared" si="151"/>
        <v>0</v>
      </c>
      <c r="AG501" s="1">
        <f t="shared" si="152"/>
        <v>0</v>
      </c>
      <c r="AH501" s="1">
        <f t="shared" si="153"/>
        <v>182.5</v>
      </c>
      <c r="AI501" s="5">
        <f t="shared" si="154"/>
        <v>0.5</v>
      </c>
      <c r="AJ501" s="5">
        <f t="shared" si="155"/>
        <v>0.648696682464455</v>
      </c>
      <c r="AK501" s="5">
        <f t="shared" si="156"/>
        <v>7.7843601895734604</v>
      </c>
      <c r="AL501" s="5">
        <f t="shared" si="157"/>
        <v>11.67654028436019</v>
      </c>
      <c r="AM501" s="5">
        <f t="shared" si="158"/>
        <v>0</v>
      </c>
      <c r="AN501" s="5">
        <f t="shared" si="159"/>
        <v>11.67654028436019</v>
      </c>
      <c r="AO501" s="1" t="s">
        <v>102</v>
      </c>
    </row>
    <row r="502" spans="1:41" x14ac:dyDescent="0.25">
      <c r="A502" s="1" t="s">
        <v>19</v>
      </c>
      <c r="B502" s="1" t="s">
        <v>37</v>
      </c>
      <c r="C502" s="1" t="s">
        <v>21</v>
      </c>
      <c r="D502" s="1" t="s">
        <v>38</v>
      </c>
      <c r="E502" s="1" t="s">
        <v>96</v>
      </c>
      <c r="F502" s="1" t="s">
        <v>103</v>
      </c>
      <c r="G502" s="1" t="s">
        <v>114</v>
      </c>
      <c r="H502" s="1" t="s">
        <v>569</v>
      </c>
      <c r="I502" s="1" t="s">
        <v>331</v>
      </c>
      <c r="J502" s="1" t="s">
        <v>101</v>
      </c>
      <c r="K502" s="1" t="s">
        <v>116</v>
      </c>
      <c r="L502" s="1">
        <v>2676044</v>
      </c>
      <c r="M502" s="1" t="s">
        <v>709</v>
      </c>
      <c r="N502" s="8">
        <f t="shared" si="163"/>
        <v>43864</v>
      </c>
      <c r="O502" s="8">
        <f>DATE(2023,12,23)</f>
        <v>45283</v>
      </c>
      <c r="P502" s="1">
        <v>3826</v>
      </c>
      <c r="Q502" s="1">
        <v>1200</v>
      </c>
      <c r="R502" s="1">
        <f t="shared" si="142"/>
        <v>3200</v>
      </c>
      <c r="S502" s="1">
        <v>2.5</v>
      </c>
      <c r="U502" s="1">
        <f t="shared" si="143"/>
        <v>1420</v>
      </c>
      <c r="V502" s="7">
        <f t="shared" si="144"/>
        <v>2.2535211267605635</v>
      </c>
      <c r="W502" s="7">
        <f t="shared" si="145"/>
        <v>822.53521126760563</v>
      </c>
      <c r="X502" s="7">
        <f t="shared" si="146"/>
        <v>1.028169014084507</v>
      </c>
      <c r="AA502" s="8">
        <f t="shared" si="147"/>
        <v>44927</v>
      </c>
      <c r="AB502" s="8">
        <f t="shared" si="148"/>
        <v>45291</v>
      </c>
      <c r="AC502" s="1">
        <v>42</v>
      </c>
      <c r="AD502" s="1">
        <f t="shared" si="149"/>
        <v>0</v>
      </c>
      <c r="AE502" s="1">
        <f t="shared" si="150"/>
        <v>0</v>
      </c>
      <c r="AF502" s="1">
        <f t="shared" si="151"/>
        <v>357</v>
      </c>
      <c r="AG502" s="1">
        <f t="shared" si="152"/>
        <v>0</v>
      </c>
      <c r="AH502" s="1">
        <f t="shared" si="153"/>
        <v>0</v>
      </c>
      <c r="AI502" s="5">
        <f t="shared" si="154"/>
        <v>0.9780821917808219</v>
      </c>
      <c r="AJ502" s="5">
        <f t="shared" si="155"/>
        <v>1.0056338028169014</v>
      </c>
      <c r="AK502" s="5">
        <f t="shared" si="156"/>
        <v>42.236619718309861</v>
      </c>
      <c r="AL502" s="5">
        <f t="shared" si="157"/>
        <v>105.59154929577466</v>
      </c>
      <c r="AM502" s="5">
        <f t="shared" si="158"/>
        <v>0</v>
      </c>
      <c r="AN502" s="5">
        <f t="shared" si="159"/>
        <v>105.59154929577466</v>
      </c>
      <c r="AO502" s="1" t="s">
        <v>102</v>
      </c>
    </row>
    <row r="503" spans="1:41" x14ac:dyDescent="0.25">
      <c r="A503" s="1" t="s">
        <v>19</v>
      </c>
      <c r="B503" s="1" t="s">
        <v>37</v>
      </c>
      <c r="C503" s="1" t="s">
        <v>21</v>
      </c>
      <c r="D503" s="1" t="s">
        <v>38</v>
      </c>
      <c r="E503" s="1" t="s">
        <v>96</v>
      </c>
      <c r="F503" s="1" t="s">
        <v>103</v>
      </c>
      <c r="G503" s="1" t="s">
        <v>114</v>
      </c>
      <c r="H503" s="1" t="s">
        <v>590</v>
      </c>
      <c r="I503" s="1" t="s">
        <v>210</v>
      </c>
      <c r="J503" s="1" t="s">
        <v>101</v>
      </c>
      <c r="K503" s="1" t="s">
        <v>116</v>
      </c>
      <c r="L503" s="1">
        <v>2676045</v>
      </c>
      <c r="M503" s="1" t="s">
        <v>710</v>
      </c>
      <c r="N503" s="8">
        <f t="shared" si="163"/>
        <v>43864</v>
      </c>
      <c r="O503" s="8">
        <f>DATE(2022,12,23)</f>
        <v>44918</v>
      </c>
      <c r="P503" s="1">
        <v>3700</v>
      </c>
      <c r="Q503" s="1">
        <v>1200</v>
      </c>
      <c r="R503" s="1">
        <f t="shared" si="142"/>
        <v>3200</v>
      </c>
      <c r="S503" s="1">
        <v>2.5</v>
      </c>
      <c r="U503" s="1">
        <f t="shared" si="143"/>
        <v>1055</v>
      </c>
      <c r="V503" s="7">
        <f t="shared" si="144"/>
        <v>3.0331753554502368</v>
      </c>
      <c r="W503" s="7">
        <f t="shared" si="145"/>
        <v>1107.1090047393363</v>
      </c>
      <c r="X503" s="7">
        <f t="shared" si="146"/>
        <v>1.3838862559241705</v>
      </c>
      <c r="AA503" s="8">
        <f t="shared" si="147"/>
        <v>44927</v>
      </c>
      <c r="AB503" s="8">
        <f t="shared" si="148"/>
        <v>45291</v>
      </c>
      <c r="AC503" s="1">
        <v>22</v>
      </c>
      <c r="AD503" s="1">
        <f t="shared" si="149"/>
        <v>0</v>
      </c>
      <c r="AE503" s="1">
        <f t="shared" si="150"/>
        <v>0</v>
      </c>
      <c r="AF503" s="1">
        <f t="shared" si="151"/>
        <v>0</v>
      </c>
      <c r="AG503" s="1">
        <f t="shared" si="152"/>
        <v>0</v>
      </c>
      <c r="AH503" s="1">
        <f t="shared" si="153"/>
        <v>182.5</v>
      </c>
      <c r="AI503" s="5">
        <f t="shared" si="154"/>
        <v>0.5</v>
      </c>
      <c r="AJ503" s="5">
        <f t="shared" si="155"/>
        <v>0.69194312796208524</v>
      </c>
      <c r="AK503" s="5">
        <f t="shared" si="156"/>
        <v>7.6113744075829377</v>
      </c>
      <c r="AL503" s="5">
        <f t="shared" si="157"/>
        <v>19.028436018957343</v>
      </c>
      <c r="AM503" s="5">
        <f t="shared" si="158"/>
        <v>0</v>
      </c>
      <c r="AN503" s="5">
        <f t="shared" si="159"/>
        <v>19.028436018957343</v>
      </c>
      <c r="AO503" s="1" t="s">
        <v>102</v>
      </c>
    </row>
    <row r="504" spans="1:41" x14ac:dyDescent="0.25">
      <c r="A504" s="1" t="s">
        <v>19</v>
      </c>
      <c r="B504" s="1" t="s">
        <v>37</v>
      </c>
      <c r="C504" s="1" t="s">
        <v>21</v>
      </c>
      <c r="D504" s="1" t="s">
        <v>38</v>
      </c>
      <c r="E504" s="1" t="s">
        <v>96</v>
      </c>
      <c r="F504" s="1" t="s">
        <v>103</v>
      </c>
      <c r="G504" s="1" t="s">
        <v>114</v>
      </c>
      <c r="H504" s="1" t="s">
        <v>592</v>
      </c>
      <c r="I504" s="1" t="s">
        <v>210</v>
      </c>
      <c r="J504" s="1" t="s">
        <v>101</v>
      </c>
      <c r="K504" s="1" t="s">
        <v>116</v>
      </c>
      <c r="L504" s="1">
        <v>2676046</v>
      </c>
      <c r="M504" s="1" t="s">
        <v>711</v>
      </c>
      <c r="N504" s="8">
        <f t="shared" si="163"/>
        <v>43864</v>
      </c>
      <c r="O504" s="8">
        <f>DATE(2022,12,23)</f>
        <v>44918</v>
      </c>
      <c r="P504" s="1">
        <v>3700</v>
      </c>
      <c r="Q504" s="1">
        <v>1200</v>
      </c>
      <c r="R504" s="1">
        <f t="shared" si="142"/>
        <v>3200</v>
      </c>
      <c r="S504" s="1">
        <v>2.5</v>
      </c>
      <c r="U504" s="1">
        <f t="shared" si="143"/>
        <v>1055</v>
      </c>
      <c r="V504" s="7">
        <f t="shared" si="144"/>
        <v>3.0331753554502368</v>
      </c>
      <c r="W504" s="7">
        <f t="shared" si="145"/>
        <v>1107.1090047393363</v>
      </c>
      <c r="X504" s="7">
        <f t="shared" si="146"/>
        <v>1.3838862559241705</v>
      </c>
      <c r="AA504" s="8">
        <f t="shared" si="147"/>
        <v>44927</v>
      </c>
      <c r="AB504" s="8">
        <f t="shared" si="148"/>
        <v>45291</v>
      </c>
      <c r="AC504" s="1">
        <v>39</v>
      </c>
      <c r="AD504" s="1">
        <f t="shared" si="149"/>
        <v>0</v>
      </c>
      <c r="AE504" s="1">
        <f t="shared" si="150"/>
        <v>0</v>
      </c>
      <c r="AF504" s="1">
        <f t="shared" si="151"/>
        <v>0</v>
      </c>
      <c r="AG504" s="1">
        <f t="shared" si="152"/>
        <v>0</v>
      </c>
      <c r="AH504" s="1">
        <f t="shared" si="153"/>
        <v>182.5</v>
      </c>
      <c r="AI504" s="5">
        <f t="shared" si="154"/>
        <v>0.5</v>
      </c>
      <c r="AJ504" s="5">
        <f t="shared" si="155"/>
        <v>0.69194312796208524</v>
      </c>
      <c r="AK504" s="5">
        <f t="shared" si="156"/>
        <v>13.492890995260662</v>
      </c>
      <c r="AL504" s="5">
        <f t="shared" si="157"/>
        <v>33.732227488151658</v>
      </c>
      <c r="AM504" s="5">
        <f t="shared" si="158"/>
        <v>0</v>
      </c>
      <c r="AN504" s="5">
        <f t="shared" si="159"/>
        <v>33.732227488151658</v>
      </c>
      <c r="AO504" s="1" t="s">
        <v>102</v>
      </c>
    </row>
    <row r="505" spans="1:41" x14ac:dyDescent="0.25">
      <c r="A505" s="1" t="s">
        <v>19</v>
      </c>
      <c r="B505" s="1" t="s">
        <v>37</v>
      </c>
      <c r="C505" s="1" t="s">
        <v>21</v>
      </c>
      <c r="D505" s="1" t="s">
        <v>38</v>
      </c>
      <c r="E505" s="1" t="s">
        <v>96</v>
      </c>
      <c r="F505" s="1" t="s">
        <v>103</v>
      </c>
      <c r="G505" s="1" t="s">
        <v>114</v>
      </c>
      <c r="H505" s="1" t="s">
        <v>574</v>
      </c>
      <c r="I505" s="1" t="s">
        <v>331</v>
      </c>
      <c r="J505" s="1" t="s">
        <v>101</v>
      </c>
      <c r="K505" s="1" t="s">
        <v>175</v>
      </c>
      <c r="L505" s="1">
        <v>2676047</v>
      </c>
      <c r="M505" s="1" t="s">
        <v>712</v>
      </c>
      <c r="N505" s="8">
        <f t="shared" si="163"/>
        <v>43864</v>
      </c>
      <c r="O505" s="8">
        <f>DATE(2021,12,23)</f>
        <v>44553</v>
      </c>
      <c r="P505" s="1">
        <v>1412</v>
      </c>
      <c r="Q505" s="1">
        <v>1200</v>
      </c>
      <c r="R505" s="1">
        <f t="shared" si="142"/>
        <v>1200</v>
      </c>
      <c r="S505" s="1">
        <v>2.5</v>
      </c>
      <c r="U505" s="1">
        <f t="shared" si="143"/>
        <v>690</v>
      </c>
      <c r="V505" s="7">
        <f t="shared" si="144"/>
        <v>1.7391304347826086</v>
      </c>
      <c r="W505" s="7">
        <f t="shared" si="145"/>
        <v>634.78260869565213</v>
      </c>
      <c r="X505" s="7">
        <f t="shared" si="146"/>
        <v>0.79347826086956519</v>
      </c>
      <c r="AA505" s="8">
        <f t="shared" si="147"/>
        <v>44927</v>
      </c>
      <c r="AB505" s="8">
        <f t="shared" si="148"/>
        <v>45291</v>
      </c>
      <c r="AC505" s="1">
        <v>18</v>
      </c>
      <c r="AD505" s="1">
        <f t="shared" si="149"/>
        <v>0</v>
      </c>
      <c r="AE505" s="1">
        <f t="shared" si="150"/>
        <v>0</v>
      </c>
      <c r="AF505" s="1">
        <f t="shared" si="151"/>
        <v>0</v>
      </c>
      <c r="AG505" s="1">
        <f t="shared" si="152"/>
        <v>0</v>
      </c>
      <c r="AH505" s="1">
        <f t="shared" si="153"/>
        <v>182.5</v>
      </c>
      <c r="AI505" s="5">
        <f t="shared" si="154"/>
        <v>0.5</v>
      </c>
      <c r="AJ505" s="5">
        <f t="shared" si="155"/>
        <v>0.39673913043478259</v>
      </c>
      <c r="AK505" s="5">
        <f t="shared" si="156"/>
        <v>3.5706521739130435</v>
      </c>
      <c r="AL505" s="5">
        <f t="shared" si="157"/>
        <v>8.9266304347826093</v>
      </c>
      <c r="AM505" s="5">
        <f t="shared" si="158"/>
        <v>0</v>
      </c>
      <c r="AN505" s="5">
        <f t="shared" si="159"/>
        <v>8.9266304347826093</v>
      </c>
      <c r="AO505" s="1" t="s">
        <v>102</v>
      </c>
    </row>
    <row r="506" spans="1:41" x14ac:dyDescent="0.25">
      <c r="A506" s="1" t="s">
        <v>19</v>
      </c>
      <c r="B506" s="1" t="s">
        <v>37</v>
      </c>
      <c r="C506" s="1" t="s">
        <v>21</v>
      </c>
      <c r="D506" s="1" t="s">
        <v>38</v>
      </c>
      <c r="E506" s="1" t="s">
        <v>96</v>
      </c>
      <c r="F506" s="1" t="s">
        <v>103</v>
      </c>
      <c r="G506" s="1" t="s">
        <v>114</v>
      </c>
      <c r="H506" s="1" t="s">
        <v>569</v>
      </c>
      <c r="I506" s="1" t="s">
        <v>331</v>
      </c>
      <c r="J506" s="1" t="s">
        <v>101</v>
      </c>
      <c r="K506" s="1" t="s">
        <v>175</v>
      </c>
      <c r="L506" s="1">
        <v>2676048</v>
      </c>
      <c r="M506" s="1" t="s">
        <v>713</v>
      </c>
      <c r="N506" s="8">
        <f t="shared" si="163"/>
        <v>43864</v>
      </c>
      <c r="O506" s="8">
        <f>DATE(2021,12,23)</f>
        <v>44553</v>
      </c>
      <c r="P506" s="1">
        <v>1514</v>
      </c>
      <c r="Q506" s="1">
        <v>1200</v>
      </c>
      <c r="R506" s="1">
        <f t="shared" si="142"/>
        <v>1200</v>
      </c>
      <c r="S506" s="1">
        <v>2.5</v>
      </c>
      <c r="U506" s="1">
        <f t="shared" si="143"/>
        <v>690</v>
      </c>
      <c r="V506" s="7">
        <f t="shared" si="144"/>
        <v>1.7391304347826086</v>
      </c>
      <c r="W506" s="7">
        <f t="shared" si="145"/>
        <v>634.78260869565213</v>
      </c>
      <c r="X506" s="7">
        <f t="shared" si="146"/>
        <v>0.79347826086956519</v>
      </c>
      <c r="AA506" s="8">
        <f t="shared" si="147"/>
        <v>44927</v>
      </c>
      <c r="AB506" s="8">
        <f t="shared" si="148"/>
        <v>45291</v>
      </c>
      <c r="AC506" s="1">
        <v>1</v>
      </c>
      <c r="AD506" s="1">
        <f t="shared" si="149"/>
        <v>0</v>
      </c>
      <c r="AE506" s="1">
        <f t="shared" si="150"/>
        <v>0</v>
      </c>
      <c r="AF506" s="1">
        <f t="shared" si="151"/>
        <v>0</v>
      </c>
      <c r="AG506" s="1">
        <f t="shared" si="152"/>
        <v>0</v>
      </c>
      <c r="AH506" s="1">
        <f t="shared" si="153"/>
        <v>182.5</v>
      </c>
      <c r="AI506" s="5">
        <f t="shared" si="154"/>
        <v>0.5</v>
      </c>
      <c r="AJ506" s="5">
        <f t="shared" si="155"/>
        <v>0.39673913043478259</v>
      </c>
      <c r="AK506" s="5">
        <f t="shared" si="156"/>
        <v>0.1983695652173913</v>
      </c>
      <c r="AL506" s="5">
        <f t="shared" si="157"/>
        <v>0.49592391304347827</v>
      </c>
      <c r="AM506" s="5">
        <f t="shared" si="158"/>
        <v>0</v>
      </c>
      <c r="AN506" s="5">
        <f t="shared" si="159"/>
        <v>0.49592391304347827</v>
      </c>
      <c r="AO506" s="1" t="s">
        <v>102</v>
      </c>
    </row>
    <row r="507" spans="1:41" x14ac:dyDescent="0.25">
      <c r="A507" s="1" t="s">
        <v>19</v>
      </c>
      <c r="B507" s="1" t="s">
        <v>37</v>
      </c>
      <c r="C507" s="1" t="s">
        <v>21</v>
      </c>
      <c r="D507" s="1" t="s">
        <v>38</v>
      </c>
      <c r="E507" s="1" t="s">
        <v>96</v>
      </c>
      <c r="F507" s="1" t="s">
        <v>103</v>
      </c>
      <c r="G507" s="1" t="s">
        <v>114</v>
      </c>
      <c r="H507" s="1" t="s">
        <v>592</v>
      </c>
      <c r="I507" s="1" t="s">
        <v>210</v>
      </c>
      <c r="J507" s="1" t="s">
        <v>101</v>
      </c>
      <c r="K507" s="1" t="s">
        <v>175</v>
      </c>
      <c r="L507" s="1">
        <v>2676051</v>
      </c>
      <c r="M507" s="1" t="s">
        <v>714</v>
      </c>
      <c r="N507" s="8">
        <f t="shared" si="163"/>
        <v>43864</v>
      </c>
      <c r="O507" s="8">
        <f>DATE(2021,12,23)</f>
        <v>44553</v>
      </c>
      <c r="P507" s="1">
        <v>1707</v>
      </c>
      <c r="Q507" s="1">
        <v>1200</v>
      </c>
      <c r="R507" s="1">
        <f t="shared" si="142"/>
        <v>1200</v>
      </c>
      <c r="S507" s="1">
        <v>2.5</v>
      </c>
      <c r="U507" s="1">
        <f t="shared" si="143"/>
        <v>690</v>
      </c>
      <c r="V507" s="7">
        <f t="shared" si="144"/>
        <v>1.7391304347826086</v>
      </c>
      <c r="W507" s="7">
        <f t="shared" si="145"/>
        <v>634.78260869565213</v>
      </c>
      <c r="X507" s="7">
        <f t="shared" si="146"/>
        <v>0.79347826086956519</v>
      </c>
      <c r="AA507" s="8">
        <f t="shared" si="147"/>
        <v>44927</v>
      </c>
      <c r="AB507" s="8">
        <f t="shared" si="148"/>
        <v>45291</v>
      </c>
      <c r="AC507" s="1">
        <v>8</v>
      </c>
      <c r="AD507" s="1">
        <f t="shared" si="149"/>
        <v>0</v>
      </c>
      <c r="AE507" s="1">
        <f t="shared" si="150"/>
        <v>0</v>
      </c>
      <c r="AF507" s="1">
        <f t="shared" si="151"/>
        <v>0</v>
      </c>
      <c r="AG507" s="1">
        <f t="shared" si="152"/>
        <v>0</v>
      </c>
      <c r="AH507" s="1">
        <f t="shared" si="153"/>
        <v>182.5</v>
      </c>
      <c r="AI507" s="5">
        <f t="shared" si="154"/>
        <v>0.5</v>
      </c>
      <c r="AJ507" s="5">
        <f t="shared" si="155"/>
        <v>0.39673913043478259</v>
      </c>
      <c r="AK507" s="5">
        <f t="shared" si="156"/>
        <v>1.5869565217391304</v>
      </c>
      <c r="AL507" s="5">
        <f t="shared" si="157"/>
        <v>3.9673913043478262</v>
      </c>
      <c r="AM507" s="5">
        <f t="shared" si="158"/>
        <v>0</v>
      </c>
      <c r="AN507" s="5">
        <f t="shared" si="159"/>
        <v>3.9673913043478262</v>
      </c>
      <c r="AO507" s="1" t="s">
        <v>102</v>
      </c>
    </row>
    <row r="508" spans="1:41" x14ac:dyDescent="0.25">
      <c r="A508" s="1" t="s">
        <v>19</v>
      </c>
      <c r="B508" s="1" t="s">
        <v>37</v>
      </c>
      <c r="C508" s="1" t="s">
        <v>21</v>
      </c>
      <c r="D508" s="1" t="s">
        <v>38</v>
      </c>
      <c r="E508" s="1" t="s">
        <v>96</v>
      </c>
      <c r="F508" s="1" t="s">
        <v>103</v>
      </c>
      <c r="G508" s="1" t="s">
        <v>114</v>
      </c>
      <c r="H508" s="1" t="s">
        <v>590</v>
      </c>
      <c r="I508" s="1" t="s">
        <v>210</v>
      </c>
      <c r="J508" s="1" t="s">
        <v>101</v>
      </c>
      <c r="K508" s="1" t="s">
        <v>175</v>
      </c>
      <c r="L508" s="1">
        <v>2676053</v>
      </c>
      <c r="M508" s="1" t="s">
        <v>715</v>
      </c>
      <c r="N508" s="8">
        <f t="shared" si="163"/>
        <v>43864</v>
      </c>
      <c r="O508" s="8">
        <f>DATE(2021,12,23)</f>
        <v>44553</v>
      </c>
      <c r="P508" s="1">
        <v>1703</v>
      </c>
      <c r="Q508" s="1">
        <v>1200</v>
      </c>
      <c r="R508" s="1">
        <f t="shared" ref="R508:R571" si="164">IF(OR(G508="QUALIFICACAO PROFISSIONAL (FIC)",G508="DOUTORADO"),P508,
    IF(ISNUMBER(FIND("PROEJA",K508)),2400,
        IF(K508="INTEGRADO",
            IF(Q508=800,3000,
                IF(Q508=1000,3100,
                    IF(Q508=1200,3200,Q508)
                )
            ),
            Q508
        )
    )
)</f>
        <v>1200</v>
      </c>
      <c r="S508" s="1">
        <v>2.5</v>
      </c>
      <c r="U508" s="1">
        <f t="shared" ref="U508:U571" si="165">O508-N508+1</f>
        <v>690</v>
      </c>
      <c r="V508" s="7">
        <f t="shared" ref="V508:V571" si="166">IF(R508&gt;P508,P508,R508)/U508</f>
        <v>1.7391304347826086</v>
      </c>
      <c r="W508" s="7">
        <f t="shared" ref="W508:W571" si="167">IF(U508&gt;365,V508*365,R508)</f>
        <v>634.78260869565213</v>
      </c>
      <c r="X508" s="7">
        <f t="shared" ref="X508:X571" si="168">IF(U508&gt;365,W508/800,R508/800)</f>
        <v>0.79347826086956519</v>
      </c>
      <c r="AA508" s="8">
        <f t="shared" ref="AA508:AA571" si="169">DATE(2023,1,1)</f>
        <v>44927</v>
      </c>
      <c r="AB508" s="8">
        <f t="shared" ref="AB508:AB571" si="170">DATE(2023,12,31)</f>
        <v>45291</v>
      </c>
      <c r="AC508" s="1">
        <v>22</v>
      </c>
      <c r="AD508" s="1">
        <f t="shared" ref="AD508:AD571" si="171">IF(AND(N508&lt;AA508,O508&gt;AB508),AB508-AA508+1,0)</f>
        <v>0</v>
      </c>
      <c r="AE508" s="1">
        <f t="shared" ref="AE508:AE571" si="172">IF(AND(N508&gt;=AA508,O508&gt;AB508,N508&lt;AB508),AB508-N508+1,0)</f>
        <v>0</v>
      </c>
      <c r="AF508" s="1">
        <f t="shared" ref="AF508:AF571" si="173">IF(AND(N508&lt;AA508,O508&lt;=AB508,O508&gt;=AA508),O508-AA508+1,0)</f>
        <v>0</v>
      </c>
      <c r="AG508" s="1">
        <f t="shared" ref="AG508:AG571" si="174">IF(AND(N508&gt;=AA508,O508&lt;=AB508),O508-N508+1,0)</f>
        <v>0</v>
      </c>
      <c r="AH508" s="1">
        <f t="shared" ref="AH508:AH571" si="175">IF(AND(N508&lt;AA508,O508&lt;AA508),(AB508-AA508+1)/2,0)</f>
        <v>182.5</v>
      </c>
      <c r="AI508" s="5">
        <f t="shared" ref="AI508:AI571" si="176">SUM(AD508:AH508)/IF(U508&gt;=365,AB508-AA508+1,U508)</f>
        <v>0.5</v>
      </c>
      <c r="AJ508" s="5">
        <f t="shared" ref="AJ508:AJ571" si="177">X508*AI508</f>
        <v>0.39673913043478259</v>
      </c>
      <c r="AK508" s="5">
        <f t="shared" ref="AK508:AK571" si="178">IF(AH508=0,AJ508*AC508,IF(AA508-O508&gt;1095,0,AJ508*(AC508/2)))</f>
        <v>4.3641304347826084</v>
      </c>
      <c r="AL508" s="5">
        <f t="shared" ref="AL508:AL571" si="179">AK508*S508</f>
        <v>10.910326086956522</v>
      </c>
      <c r="AM508" s="5">
        <f t="shared" ref="AM508:AM571" si="180">IF(J508="SIM",AL508*50%,0)</f>
        <v>0</v>
      </c>
      <c r="AN508" s="5">
        <f t="shared" ref="AN508:AN571" si="181">AL508+AM508</f>
        <v>10.910326086956522</v>
      </c>
      <c r="AO508" s="1" t="s">
        <v>102</v>
      </c>
    </row>
    <row r="509" spans="1:41" x14ac:dyDescent="0.25">
      <c r="A509" s="1" t="s">
        <v>19</v>
      </c>
      <c r="B509" s="1" t="s">
        <v>37</v>
      </c>
      <c r="C509" s="1" t="s">
        <v>21</v>
      </c>
      <c r="D509" s="1" t="s">
        <v>38</v>
      </c>
      <c r="E509" s="1" t="s">
        <v>96</v>
      </c>
      <c r="F509" s="1" t="s">
        <v>103</v>
      </c>
      <c r="G509" s="1" t="s">
        <v>127</v>
      </c>
      <c r="H509" s="1" t="s">
        <v>525</v>
      </c>
      <c r="I509" s="1" t="s">
        <v>331</v>
      </c>
      <c r="J509" s="1" t="s">
        <v>101</v>
      </c>
      <c r="L509" s="1">
        <v>2676066</v>
      </c>
      <c r="M509" s="1" t="s">
        <v>716</v>
      </c>
      <c r="N509" s="8">
        <f t="shared" si="163"/>
        <v>43864</v>
      </c>
      <c r="O509" s="8">
        <f>DATE(2023,7,30)</f>
        <v>45137</v>
      </c>
      <c r="P509" s="1">
        <v>2750</v>
      </c>
      <c r="Q509" s="1">
        <v>2400</v>
      </c>
      <c r="R509" s="1">
        <f t="shared" si="164"/>
        <v>2400</v>
      </c>
      <c r="S509" s="1">
        <v>2.5</v>
      </c>
      <c r="U509" s="1">
        <f t="shared" si="165"/>
        <v>1274</v>
      </c>
      <c r="V509" s="7">
        <f t="shared" si="166"/>
        <v>1.8838304552590266</v>
      </c>
      <c r="W509" s="7">
        <f t="shared" si="167"/>
        <v>687.59811616954471</v>
      </c>
      <c r="X509" s="7">
        <f t="shared" si="168"/>
        <v>0.85949764521193084</v>
      </c>
      <c r="AA509" s="8">
        <f t="shared" si="169"/>
        <v>44927</v>
      </c>
      <c r="AB509" s="8">
        <f t="shared" si="170"/>
        <v>45291</v>
      </c>
      <c r="AC509" s="1">
        <v>22</v>
      </c>
      <c r="AD509" s="1">
        <f t="shared" si="171"/>
        <v>0</v>
      </c>
      <c r="AE509" s="1">
        <f t="shared" si="172"/>
        <v>0</v>
      </c>
      <c r="AF509" s="1">
        <f t="shared" si="173"/>
        <v>211</v>
      </c>
      <c r="AG509" s="1">
        <f t="shared" si="174"/>
        <v>0</v>
      </c>
      <c r="AH509" s="1">
        <f t="shared" si="175"/>
        <v>0</v>
      </c>
      <c r="AI509" s="5">
        <f t="shared" si="176"/>
        <v>0.57808219178082187</v>
      </c>
      <c r="AJ509" s="5">
        <f t="shared" si="177"/>
        <v>0.49686028257456821</v>
      </c>
      <c r="AK509" s="5">
        <f t="shared" si="178"/>
        <v>10.930926216640501</v>
      </c>
      <c r="AL509" s="5">
        <f t="shared" si="179"/>
        <v>27.327315541601251</v>
      </c>
      <c r="AM509" s="5">
        <f t="shared" si="180"/>
        <v>0</v>
      </c>
      <c r="AN509" s="5">
        <f t="shared" si="181"/>
        <v>27.327315541601251</v>
      </c>
      <c r="AO509" s="1" t="s">
        <v>102</v>
      </c>
    </row>
    <row r="510" spans="1:41" x14ac:dyDescent="0.25">
      <c r="A510" s="1" t="s">
        <v>19</v>
      </c>
      <c r="B510" s="1" t="s">
        <v>37</v>
      </c>
      <c r="C510" s="1" t="s">
        <v>21</v>
      </c>
      <c r="D510" s="1" t="s">
        <v>38</v>
      </c>
      <c r="E510" s="1" t="s">
        <v>96</v>
      </c>
      <c r="F510" s="1" t="s">
        <v>103</v>
      </c>
      <c r="G510" s="1" t="s">
        <v>127</v>
      </c>
      <c r="H510" s="1" t="s">
        <v>555</v>
      </c>
      <c r="I510" s="1" t="s">
        <v>331</v>
      </c>
      <c r="J510" s="1" t="s">
        <v>101</v>
      </c>
      <c r="L510" s="1">
        <v>2676070</v>
      </c>
      <c r="M510" s="1" t="s">
        <v>717</v>
      </c>
      <c r="N510" s="8">
        <f t="shared" si="163"/>
        <v>43864</v>
      </c>
      <c r="O510" s="8">
        <f>DATE(2023,7,30)</f>
        <v>45137</v>
      </c>
      <c r="P510" s="1">
        <v>2642</v>
      </c>
      <c r="Q510" s="1">
        <v>2400</v>
      </c>
      <c r="R510" s="1">
        <f t="shared" si="164"/>
        <v>2400</v>
      </c>
      <c r="S510" s="1">
        <v>2.5</v>
      </c>
      <c r="U510" s="1">
        <f t="shared" si="165"/>
        <v>1274</v>
      </c>
      <c r="V510" s="7">
        <f t="shared" si="166"/>
        <v>1.8838304552590266</v>
      </c>
      <c r="W510" s="7">
        <f t="shared" si="167"/>
        <v>687.59811616954471</v>
      </c>
      <c r="X510" s="7">
        <f t="shared" si="168"/>
        <v>0.85949764521193084</v>
      </c>
      <c r="AA510" s="8">
        <f t="shared" si="169"/>
        <v>44927</v>
      </c>
      <c r="AB510" s="8">
        <f t="shared" si="170"/>
        <v>45291</v>
      </c>
      <c r="AC510" s="1">
        <v>26</v>
      </c>
      <c r="AD510" s="1">
        <f t="shared" si="171"/>
        <v>0</v>
      </c>
      <c r="AE510" s="1">
        <f t="shared" si="172"/>
        <v>0</v>
      </c>
      <c r="AF510" s="1">
        <f t="shared" si="173"/>
        <v>211</v>
      </c>
      <c r="AG510" s="1">
        <f t="shared" si="174"/>
        <v>0</v>
      </c>
      <c r="AH510" s="1">
        <f t="shared" si="175"/>
        <v>0</v>
      </c>
      <c r="AI510" s="5">
        <f t="shared" si="176"/>
        <v>0.57808219178082187</v>
      </c>
      <c r="AJ510" s="5">
        <f t="shared" si="177"/>
        <v>0.49686028257456821</v>
      </c>
      <c r="AK510" s="5">
        <f t="shared" si="178"/>
        <v>12.918367346938773</v>
      </c>
      <c r="AL510" s="5">
        <f t="shared" si="179"/>
        <v>32.295918367346928</v>
      </c>
      <c r="AM510" s="5">
        <f t="shared" si="180"/>
        <v>0</v>
      </c>
      <c r="AN510" s="5">
        <f t="shared" si="181"/>
        <v>32.295918367346928</v>
      </c>
      <c r="AO510" s="1" t="s">
        <v>102</v>
      </c>
    </row>
    <row r="511" spans="1:41" x14ac:dyDescent="0.25">
      <c r="A511" s="1" t="s">
        <v>19</v>
      </c>
      <c r="B511" s="1" t="s">
        <v>37</v>
      </c>
      <c r="C511" s="1" t="s">
        <v>21</v>
      </c>
      <c r="D511" s="1" t="s">
        <v>38</v>
      </c>
      <c r="E511" s="1" t="s">
        <v>96</v>
      </c>
      <c r="F511" s="1" t="s">
        <v>103</v>
      </c>
      <c r="G511" s="1" t="s">
        <v>127</v>
      </c>
      <c r="H511" s="1" t="s">
        <v>562</v>
      </c>
      <c r="I511" s="1" t="s">
        <v>331</v>
      </c>
      <c r="J511" s="1" t="s">
        <v>101</v>
      </c>
      <c r="L511" s="1">
        <v>2676071</v>
      </c>
      <c r="M511" s="1" t="s">
        <v>718</v>
      </c>
      <c r="N511" s="8">
        <f t="shared" si="163"/>
        <v>43864</v>
      </c>
      <c r="O511" s="8">
        <f>DATE(2022,12,23)</f>
        <v>44918</v>
      </c>
      <c r="P511" s="1">
        <v>2548</v>
      </c>
      <c r="Q511" s="1">
        <v>2400</v>
      </c>
      <c r="R511" s="1">
        <f t="shared" si="164"/>
        <v>2400</v>
      </c>
      <c r="S511" s="1">
        <v>2.5</v>
      </c>
      <c r="U511" s="1">
        <f t="shared" si="165"/>
        <v>1055</v>
      </c>
      <c r="V511" s="7">
        <f t="shared" si="166"/>
        <v>2.2748815165876777</v>
      </c>
      <c r="W511" s="7">
        <f t="shared" si="167"/>
        <v>830.33175355450237</v>
      </c>
      <c r="X511" s="7">
        <f t="shared" si="168"/>
        <v>1.0379146919431279</v>
      </c>
      <c r="AA511" s="8">
        <f t="shared" si="169"/>
        <v>44927</v>
      </c>
      <c r="AB511" s="8">
        <f t="shared" si="170"/>
        <v>45291</v>
      </c>
      <c r="AC511" s="1">
        <v>23</v>
      </c>
      <c r="AD511" s="1">
        <f t="shared" si="171"/>
        <v>0</v>
      </c>
      <c r="AE511" s="1">
        <f t="shared" si="172"/>
        <v>0</v>
      </c>
      <c r="AF511" s="1">
        <f t="shared" si="173"/>
        <v>0</v>
      </c>
      <c r="AG511" s="1">
        <f t="shared" si="174"/>
        <v>0</v>
      </c>
      <c r="AH511" s="1">
        <f t="shared" si="175"/>
        <v>182.5</v>
      </c>
      <c r="AI511" s="5">
        <f t="shared" si="176"/>
        <v>0.5</v>
      </c>
      <c r="AJ511" s="5">
        <f t="shared" si="177"/>
        <v>0.51895734597156395</v>
      </c>
      <c r="AK511" s="5">
        <f t="shared" si="178"/>
        <v>5.9680094786729851</v>
      </c>
      <c r="AL511" s="5">
        <f t="shared" si="179"/>
        <v>14.920023696682463</v>
      </c>
      <c r="AM511" s="5">
        <f t="shared" si="180"/>
        <v>0</v>
      </c>
      <c r="AN511" s="5">
        <f t="shared" si="181"/>
        <v>14.920023696682463</v>
      </c>
      <c r="AO511" s="1" t="s">
        <v>102</v>
      </c>
    </row>
    <row r="512" spans="1:41" x14ac:dyDescent="0.25">
      <c r="A512" s="1" t="s">
        <v>19</v>
      </c>
      <c r="B512" s="1" t="s">
        <v>37</v>
      </c>
      <c r="C512" s="1" t="s">
        <v>21</v>
      </c>
      <c r="D512" s="1" t="s">
        <v>38</v>
      </c>
      <c r="E512" s="1" t="s">
        <v>96</v>
      </c>
      <c r="F512" s="1" t="s">
        <v>103</v>
      </c>
      <c r="G512" s="1" t="s">
        <v>127</v>
      </c>
      <c r="H512" s="1" t="s">
        <v>518</v>
      </c>
      <c r="I512" s="1" t="s">
        <v>162</v>
      </c>
      <c r="J512" s="1" t="s">
        <v>101</v>
      </c>
      <c r="L512" s="1">
        <v>2676072</v>
      </c>
      <c r="M512" s="1" t="s">
        <v>719</v>
      </c>
      <c r="N512" s="8">
        <f t="shared" si="163"/>
        <v>43864</v>
      </c>
      <c r="O512" s="8">
        <f>DATE(2022,12,23)</f>
        <v>44918</v>
      </c>
      <c r="P512" s="1">
        <v>2130</v>
      </c>
      <c r="Q512" s="1">
        <v>2000</v>
      </c>
      <c r="R512" s="1">
        <f t="shared" si="164"/>
        <v>2000</v>
      </c>
      <c r="S512" s="1">
        <v>1.5</v>
      </c>
      <c r="U512" s="1">
        <f t="shared" si="165"/>
        <v>1055</v>
      </c>
      <c r="V512" s="7">
        <f t="shared" si="166"/>
        <v>1.8957345971563981</v>
      </c>
      <c r="W512" s="7">
        <f t="shared" si="167"/>
        <v>691.94312796208533</v>
      </c>
      <c r="X512" s="7">
        <f t="shared" si="168"/>
        <v>0.86492890995260663</v>
      </c>
      <c r="AA512" s="8">
        <f t="shared" si="169"/>
        <v>44927</v>
      </c>
      <c r="AB512" s="8">
        <f t="shared" si="170"/>
        <v>45291</v>
      </c>
      <c r="AC512" s="1">
        <v>21</v>
      </c>
      <c r="AD512" s="1">
        <f t="shared" si="171"/>
        <v>0</v>
      </c>
      <c r="AE512" s="1">
        <f t="shared" si="172"/>
        <v>0</v>
      </c>
      <c r="AF512" s="1">
        <f t="shared" si="173"/>
        <v>0</v>
      </c>
      <c r="AG512" s="1">
        <f t="shared" si="174"/>
        <v>0</v>
      </c>
      <c r="AH512" s="1">
        <f t="shared" si="175"/>
        <v>182.5</v>
      </c>
      <c r="AI512" s="5">
        <f t="shared" si="176"/>
        <v>0.5</v>
      </c>
      <c r="AJ512" s="5">
        <f t="shared" si="177"/>
        <v>0.43246445497630331</v>
      </c>
      <c r="AK512" s="5">
        <f t="shared" si="178"/>
        <v>4.5408767772511851</v>
      </c>
      <c r="AL512" s="5">
        <f t="shared" si="179"/>
        <v>6.8113151658767777</v>
      </c>
      <c r="AM512" s="5">
        <f t="shared" si="180"/>
        <v>0</v>
      </c>
      <c r="AN512" s="5">
        <f t="shared" si="181"/>
        <v>6.8113151658767777</v>
      </c>
      <c r="AO512" s="1" t="s">
        <v>102</v>
      </c>
    </row>
    <row r="513" spans="1:41" x14ac:dyDescent="0.25">
      <c r="A513" s="1" t="s">
        <v>19</v>
      </c>
      <c r="B513" s="1" t="s">
        <v>37</v>
      </c>
      <c r="C513" s="1" t="s">
        <v>21</v>
      </c>
      <c r="D513" s="1" t="s">
        <v>38</v>
      </c>
      <c r="E513" s="1" t="s">
        <v>96</v>
      </c>
      <c r="F513" s="1" t="s">
        <v>103</v>
      </c>
      <c r="G513" s="1" t="s">
        <v>127</v>
      </c>
      <c r="H513" s="1" t="s">
        <v>528</v>
      </c>
      <c r="I513" s="1" t="s">
        <v>162</v>
      </c>
      <c r="J513" s="1" t="s">
        <v>101</v>
      </c>
      <c r="L513" s="1">
        <v>2676073</v>
      </c>
      <c r="M513" s="1" t="s">
        <v>720</v>
      </c>
      <c r="N513" s="8">
        <f t="shared" si="163"/>
        <v>43864</v>
      </c>
      <c r="O513" s="8">
        <f>DATE(2022,12,23)</f>
        <v>44918</v>
      </c>
      <c r="P513" s="1">
        <v>2130</v>
      </c>
      <c r="Q513" s="1">
        <v>2000</v>
      </c>
      <c r="R513" s="1">
        <f t="shared" si="164"/>
        <v>2000</v>
      </c>
      <c r="S513" s="1">
        <v>1</v>
      </c>
      <c r="U513" s="1">
        <f t="shared" si="165"/>
        <v>1055</v>
      </c>
      <c r="V513" s="7">
        <f t="shared" si="166"/>
        <v>1.8957345971563981</v>
      </c>
      <c r="W513" s="7">
        <f t="shared" si="167"/>
        <v>691.94312796208533</v>
      </c>
      <c r="X513" s="7">
        <f t="shared" si="168"/>
        <v>0.86492890995260663</v>
      </c>
      <c r="AA513" s="8">
        <f t="shared" si="169"/>
        <v>44927</v>
      </c>
      <c r="AB513" s="8">
        <f t="shared" si="170"/>
        <v>45291</v>
      </c>
      <c r="AC513" s="1">
        <v>22</v>
      </c>
      <c r="AD513" s="1">
        <f t="shared" si="171"/>
        <v>0</v>
      </c>
      <c r="AE513" s="1">
        <f t="shared" si="172"/>
        <v>0</v>
      </c>
      <c r="AF513" s="1">
        <f t="shared" si="173"/>
        <v>0</v>
      </c>
      <c r="AG513" s="1">
        <f t="shared" si="174"/>
        <v>0</v>
      </c>
      <c r="AH513" s="1">
        <f t="shared" si="175"/>
        <v>182.5</v>
      </c>
      <c r="AI513" s="5">
        <f t="shared" si="176"/>
        <v>0.5</v>
      </c>
      <c r="AJ513" s="5">
        <f t="shared" si="177"/>
        <v>0.43246445497630331</v>
      </c>
      <c r="AK513" s="5">
        <f t="shared" si="178"/>
        <v>4.7571090047393367</v>
      </c>
      <c r="AL513" s="5">
        <f t="shared" si="179"/>
        <v>4.7571090047393367</v>
      </c>
      <c r="AM513" s="5">
        <f t="shared" si="180"/>
        <v>0</v>
      </c>
      <c r="AN513" s="5">
        <f t="shared" si="181"/>
        <v>4.7571090047393367</v>
      </c>
      <c r="AO513" s="1" t="s">
        <v>102</v>
      </c>
    </row>
    <row r="514" spans="1:41" x14ac:dyDescent="0.25">
      <c r="A514" s="1" t="s">
        <v>19</v>
      </c>
      <c r="B514" s="1" t="s">
        <v>37</v>
      </c>
      <c r="C514" s="1" t="s">
        <v>21</v>
      </c>
      <c r="D514" s="1" t="s">
        <v>38</v>
      </c>
      <c r="E514" s="1" t="s">
        <v>96</v>
      </c>
      <c r="F514" s="1" t="s">
        <v>103</v>
      </c>
      <c r="G514" s="1" t="s">
        <v>98</v>
      </c>
      <c r="H514" s="1" t="s">
        <v>537</v>
      </c>
      <c r="I514" s="1" t="s">
        <v>162</v>
      </c>
      <c r="J514" s="1" t="s">
        <v>101</v>
      </c>
      <c r="L514" s="1">
        <v>2676075</v>
      </c>
      <c r="M514" s="1" t="s">
        <v>721</v>
      </c>
      <c r="N514" s="8">
        <f t="shared" si="163"/>
        <v>43864</v>
      </c>
      <c r="O514" s="8">
        <f>DATE(2024,12,23)</f>
        <v>45649</v>
      </c>
      <c r="P514" s="1">
        <v>4460</v>
      </c>
      <c r="Q514" s="1">
        <v>3200</v>
      </c>
      <c r="R514" s="1">
        <f t="shared" si="164"/>
        <v>3200</v>
      </c>
      <c r="S514" s="1">
        <v>2.5</v>
      </c>
      <c r="U514" s="1">
        <f t="shared" si="165"/>
        <v>1786</v>
      </c>
      <c r="V514" s="7">
        <f t="shared" si="166"/>
        <v>1.7917133258678613</v>
      </c>
      <c r="W514" s="7">
        <f t="shared" si="167"/>
        <v>653.97536394176939</v>
      </c>
      <c r="X514" s="7">
        <f t="shared" si="168"/>
        <v>0.81746920492721176</v>
      </c>
      <c r="AA514" s="8">
        <f t="shared" si="169"/>
        <v>44927</v>
      </c>
      <c r="AB514" s="8">
        <f t="shared" si="170"/>
        <v>45291</v>
      </c>
      <c r="AC514" s="1">
        <v>21</v>
      </c>
      <c r="AD514" s="1">
        <f t="shared" si="171"/>
        <v>365</v>
      </c>
      <c r="AE514" s="1">
        <f t="shared" si="172"/>
        <v>0</v>
      </c>
      <c r="AF514" s="1">
        <f t="shared" si="173"/>
        <v>0</v>
      </c>
      <c r="AG514" s="1">
        <f t="shared" si="174"/>
        <v>0</v>
      </c>
      <c r="AH514" s="1">
        <f t="shared" si="175"/>
        <v>0</v>
      </c>
      <c r="AI514" s="5">
        <f t="shared" si="176"/>
        <v>1</v>
      </c>
      <c r="AJ514" s="5">
        <f t="shared" si="177"/>
        <v>0.81746920492721176</v>
      </c>
      <c r="AK514" s="5">
        <f t="shared" si="178"/>
        <v>17.166853303471449</v>
      </c>
      <c r="AL514" s="5">
        <f t="shared" si="179"/>
        <v>42.917133258678618</v>
      </c>
      <c r="AM514" s="5">
        <f t="shared" si="180"/>
        <v>0</v>
      </c>
      <c r="AN514" s="5">
        <f t="shared" si="181"/>
        <v>42.917133258678618</v>
      </c>
      <c r="AO514" s="1" t="s">
        <v>102</v>
      </c>
    </row>
    <row r="515" spans="1:41" x14ac:dyDescent="0.25">
      <c r="A515" s="1" t="s">
        <v>19</v>
      </c>
      <c r="B515" s="1" t="s">
        <v>37</v>
      </c>
      <c r="C515" s="1" t="s">
        <v>21</v>
      </c>
      <c r="D515" s="1" t="s">
        <v>38</v>
      </c>
      <c r="E515" s="1" t="s">
        <v>96</v>
      </c>
      <c r="F515" s="1" t="s">
        <v>103</v>
      </c>
      <c r="G515" s="1" t="s">
        <v>98</v>
      </c>
      <c r="H515" s="1" t="s">
        <v>542</v>
      </c>
      <c r="I515" s="1" t="s">
        <v>210</v>
      </c>
      <c r="J515" s="1" t="s">
        <v>101</v>
      </c>
      <c r="L515" s="1">
        <v>2676076</v>
      </c>
      <c r="M515" s="1" t="s">
        <v>722</v>
      </c>
      <c r="N515" s="8">
        <f t="shared" si="163"/>
        <v>43864</v>
      </c>
      <c r="O515" s="8">
        <f>DATE(2024,12,23)</f>
        <v>45649</v>
      </c>
      <c r="P515" s="1">
        <v>4610</v>
      </c>
      <c r="Q515" s="1">
        <v>3600</v>
      </c>
      <c r="R515" s="1">
        <f t="shared" si="164"/>
        <v>3600</v>
      </c>
      <c r="S515" s="1">
        <v>2.5</v>
      </c>
      <c r="U515" s="1">
        <f t="shared" si="165"/>
        <v>1786</v>
      </c>
      <c r="V515" s="7">
        <f t="shared" si="166"/>
        <v>2.0156774916013438</v>
      </c>
      <c r="W515" s="7">
        <f t="shared" si="167"/>
        <v>735.72228443449046</v>
      </c>
      <c r="X515" s="7">
        <f t="shared" si="168"/>
        <v>0.91965285554311305</v>
      </c>
      <c r="AA515" s="8">
        <f t="shared" si="169"/>
        <v>44927</v>
      </c>
      <c r="AB515" s="8">
        <f t="shared" si="170"/>
        <v>45291</v>
      </c>
      <c r="AC515" s="1">
        <v>22</v>
      </c>
      <c r="AD515" s="1">
        <f t="shared" si="171"/>
        <v>365</v>
      </c>
      <c r="AE515" s="1">
        <f t="shared" si="172"/>
        <v>0</v>
      </c>
      <c r="AF515" s="1">
        <f t="shared" si="173"/>
        <v>0</v>
      </c>
      <c r="AG515" s="1">
        <f t="shared" si="174"/>
        <v>0</v>
      </c>
      <c r="AH515" s="1">
        <f t="shared" si="175"/>
        <v>0</v>
      </c>
      <c r="AI515" s="5">
        <f t="shared" si="176"/>
        <v>1</v>
      </c>
      <c r="AJ515" s="5">
        <f t="shared" si="177"/>
        <v>0.91965285554311305</v>
      </c>
      <c r="AK515" s="5">
        <f t="shared" si="178"/>
        <v>20.232362821948488</v>
      </c>
      <c r="AL515" s="5">
        <f t="shared" si="179"/>
        <v>50.580907054871219</v>
      </c>
      <c r="AM515" s="5">
        <f t="shared" si="180"/>
        <v>0</v>
      </c>
      <c r="AN515" s="5">
        <f t="shared" si="181"/>
        <v>50.580907054871219</v>
      </c>
      <c r="AO515" s="1" t="s">
        <v>102</v>
      </c>
    </row>
    <row r="516" spans="1:41" x14ac:dyDescent="0.25">
      <c r="A516" s="1" t="s">
        <v>19</v>
      </c>
      <c r="B516" s="1" t="s">
        <v>37</v>
      </c>
      <c r="C516" s="1" t="s">
        <v>21</v>
      </c>
      <c r="D516" s="1" t="s">
        <v>38</v>
      </c>
      <c r="E516" s="1" t="s">
        <v>96</v>
      </c>
      <c r="F516" s="1" t="s">
        <v>103</v>
      </c>
      <c r="G516" s="1" t="s">
        <v>98</v>
      </c>
      <c r="H516" s="1" t="s">
        <v>523</v>
      </c>
      <c r="I516" s="1" t="s">
        <v>100</v>
      </c>
      <c r="J516" s="1" t="s">
        <v>101</v>
      </c>
      <c r="L516" s="1">
        <v>2676077</v>
      </c>
      <c r="M516" s="1" t="s">
        <v>723</v>
      </c>
      <c r="N516" s="8">
        <f t="shared" si="163"/>
        <v>43864</v>
      </c>
      <c r="O516" s="8">
        <f>DATE(2022,12,23)</f>
        <v>44918</v>
      </c>
      <c r="P516" s="1">
        <v>2587</v>
      </c>
      <c r="Q516" s="1">
        <v>2400</v>
      </c>
      <c r="R516" s="1">
        <f t="shared" si="164"/>
        <v>2400</v>
      </c>
      <c r="S516" s="1">
        <v>1</v>
      </c>
      <c r="U516" s="1">
        <f t="shared" si="165"/>
        <v>1055</v>
      </c>
      <c r="V516" s="7">
        <f t="shared" si="166"/>
        <v>2.2748815165876777</v>
      </c>
      <c r="W516" s="7">
        <f t="shared" si="167"/>
        <v>830.33175355450237</v>
      </c>
      <c r="X516" s="7">
        <f t="shared" si="168"/>
        <v>1.0379146919431279</v>
      </c>
      <c r="AA516" s="8">
        <f t="shared" si="169"/>
        <v>44927</v>
      </c>
      <c r="AB516" s="8">
        <f t="shared" si="170"/>
        <v>45291</v>
      </c>
      <c r="AC516" s="1">
        <v>30</v>
      </c>
      <c r="AD516" s="1">
        <f t="shared" si="171"/>
        <v>0</v>
      </c>
      <c r="AE516" s="1">
        <f t="shared" si="172"/>
        <v>0</v>
      </c>
      <c r="AF516" s="1">
        <f t="shared" si="173"/>
        <v>0</v>
      </c>
      <c r="AG516" s="1">
        <f t="shared" si="174"/>
        <v>0</v>
      </c>
      <c r="AH516" s="1">
        <f t="shared" si="175"/>
        <v>182.5</v>
      </c>
      <c r="AI516" s="5">
        <f t="shared" si="176"/>
        <v>0.5</v>
      </c>
      <c r="AJ516" s="5">
        <f t="shared" si="177"/>
        <v>0.51895734597156395</v>
      </c>
      <c r="AK516" s="5">
        <f t="shared" si="178"/>
        <v>7.7843601895734595</v>
      </c>
      <c r="AL516" s="5">
        <f t="shared" si="179"/>
        <v>7.7843601895734595</v>
      </c>
      <c r="AM516" s="5">
        <f t="shared" si="180"/>
        <v>0</v>
      </c>
      <c r="AN516" s="5">
        <f t="shared" si="181"/>
        <v>7.7843601895734595</v>
      </c>
      <c r="AO516" s="1" t="s">
        <v>102</v>
      </c>
    </row>
    <row r="517" spans="1:41" x14ac:dyDescent="0.25">
      <c r="A517" s="1" t="s">
        <v>19</v>
      </c>
      <c r="B517" s="1" t="s">
        <v>37</v>
      </c>
      <c r="C517" s="1" t="s">
        <v>21</v>
      </c>
      <c r="D517" s="1" t="s">
        <v>38</v>
      </c>
      <c r="E517" s="1" t="s">
        <v>96</v>
      </c>
      <c r="F517" s="1" t="s">
        <v>103</v>
      </c>
      <c r="G517" s="1" t="s">
        <v>98</v>
      </c>
      <c r="H517" s="1" t="s">
        <v>566</v>
      </c>
      <c r="I517" s="1" t="s">
        <v>336</v>
      </c>
      <c r="J517" s="1" t="s">
        <v>101</v>
      </c>
      <c r="L517" s="1">
        <v>2676078</v>
      </c>
      <c r="M517" s="1" t="s">
        <v>724</v>
      </c>
      <c r="N517" s="8">
        <f t="shared" si="163"/>
        <v>43864</v>
      </c>
      <c r="O517" s="8">
        <f>DATE(2022,12,23)</f>
        <v>44918</v>
      </c>
      <c r="P517" s="1">
        <v>2600</v>
      </c>
      <c r="Q517" s="1">
        <v>2400</v>
      </c>
      <c r="R517" s="1">
        <f t="shared" si="164"/>
        <v>2400</v>
      </c>
      <c r="S517" s="1">
        <v>1</v>
      </c>
      <c r="U517" s="1">
        <f t="shared" si="165"/>
        <v>1055</v>
      </c>
      <c r="V517" s="7">
        <f t="shared" si="166"/>
        <v>2.2748815165876777</v>
      </c>
      <c r="W517" s="7">
        <f t="shared" si="167"/>
        <v>830.33175355450237</v>
      </c>
      <c r="X517" s="7">
        <f t="shared" si="168"/>
        <v>1.0379146919431279</v>
      </c>
      <c r="AA517" s="8">
        <f t="shared" si="169"/>
        <v>44927</v>
      </c>
      <c r="AB517" s="8">
        <f t="shared" si="170"/>
        <v>45291</v>
      </c>
      <c r="AC517" s="1">
        <v>32</v>
      </c>
      <c r="AD517" s="1">
        <f t="shared" si="171"/>
        <v>0</v>
      </c>
      <c r="AE517" s="1">
        <f t="shared" si="172"/>
        <v>0</v>
      </c>
      <c r="AF517" s="1">
        <f t="shared" si="173"/>
        <v>0</v>
      </c>
      <c r="AG517" s="1">
        <f t="shared" si="174"/>
        <v>0</v>
      </c>
      <c r="AH517" s="1">
        <f t="shared" si="175"/>
        <v>182.5</v>
      </c>
      <c r="AI517" s="5">
        <f t="shared" si="176"/>
        <v>0.5</v>
      </c>
      <c r="AJ517" s="5">
        <f t="shared" si="177"/>
        <v>0.51895734597156395</v>
      </c>
      <c r="AK517" s="5">
        <f t="shared" si="178"/>
        <v>8.3033175355450233</v>
      </c>
      <c r="AL517" s="5">
        <f t="shared" si="179"/>
        <v>8.3033175355450233</v>
      </c>
      <c r="AM517" s="5">
        <f t="shared" si="180"/>
        <v>0</v>
      </c>
      <c r="AN517" s="5">
        <f t="shared" si="181"/>
        <v>8.3033175355450233</v>
      </c>
      <c r="AO517" s="1" t="s">
        <v>102</v>
      </c>
    </row>
    <row r="518" spans="1:41" x14ac:dyDescent="0.25">
      <c r="A518" s="1" t="s">
        <v>19</v>
      </c>
      <c r="B518" s="1" t="s">
        <v>37</v>
      </c>
      <c r="C518" s="1" t="s">
        <v>21</v>
      </c>
      <c r="D518" s="1" t="s">
        <v>38</v>
      </c>
      <c r="E518" s="1" t="s">
        <v>96</v>
      </c>
      <c r="F518" s="1" t="s">
        <v>103</v>
      </c>
      <c r="G518" s="1" t="s">
        <v>98</v>
      </c>
      <c r="H518" s="1" t="s">
        <v>725</v>
      </c>
      <c r="I518" s="1" t="s">
        <v>210</v>
      </c>
      <c r="J518" s="1" t="s">
        <v>101</v>
      </c>
      <c r="L518" s="1">
        <v>2676104</v>
      </c>
      <c r="M518" s="1" t="s">
        <v>726</v>
      </c>
      <c r="N518" s="8">
        <f t="shared" si="163"/>
        <v>43864</v>
      </c>
      <c r="O518" s="8">
        <f>DATE(2024,12,23)</f>
        <v>45649</v>
      </c>
      <c r="P518" s="1">
        <v>3662</v>
      </c>
      <c r="Q518" s="1">
        <v>3600</v>
      </c>
      <c r="R518" s="1">
        <f t="shared" si="164"/>
        <v>3600</v>
      </c>
      <c r="S518" s="1">
        <v>2.5</v>
      </c>
      <c r="U518" s="1">
        <f t="shared" si="165"/>
        <v>1786</v>
      </c>
      <c r="V518" s="7">
        <f t="shared" si="166"/>
        <v>2.0156774916013438</v>
      </c>
      <c r="W518" s="7">
        <f t="shared" si="167"/>
        <v>735.72228443449046</v>
      </c>
      <c r="X518" s="7">
        <f t="shared" si="168"/>
        <v>0.91965285554311305</v>
      </c>
      <c r="AA518" s="8">
        <f t="shared" si="169"/>
        <v>44927</v>
      </c>
      <c r="AB518" s="8">
        <f t="shared" si="170"/>
        <v>45291</v>
      </c>
      <c r="AC518" s="1">
        <v>32</v>
      </c>
      <c r="AD518" s="1">
        <f t="shared" si="171"/>
        <v>365</v>
      </c>
      <c r="AE518" s="1">
        <f t="shared" si="172"/>
        <v>0</v>
      </c>
      <c r="AF518" s="1">
        <f t="shared" si="173"/>
        <v>0</v>
      </c>
      <c r="AG518" s="1">
        <f t="shared" si="174"/>
        <v>0</v>
      </c>
      <c r="AH518" s="1">
        <f t="shared" si="175"/>
        <v>0</v>
      </c>
      <c r="AI518" s="5">
        <f t="shared" si="176"/>
        <v>1</v>
      </c>
      <c r="AJ518" s="5">
        <f t="shared" si="177"/>
        <v>0.91965285554311305</v>
      </c>
      <c r="AK518" s="5">
        <f t="shared" si="178"/>
        <v>29.428891377379617</v>
      </c>
      <c r="AL518" s="5">
        <f t="shared" si="179"/>
        <v>73.572228443449049</v>
      </c>
      <c r="AM518" s="5">
        <f t="shared" si="180"/>
        <v>0</v>
      </c>
      <c r="AN518" s="5">
        <f t="shared" si="181"/>
        <v>73.572228443449049</v>
      </c>
      <c r="AO518" s="1" t="s">
        <v>102</v>
      </c>
    </row>
    <row r="519" spans="1:41" x14ac:dyDescent="0.25">
      <c r="A519" s="1" t="s">
        <v>19</v>
      </c>
      <c r="B519" s="1" t="s">
        <v>37</v>
      </c>
      <c r="C519" s="1" t="s">
        <v>21</v>
      </c>
      <c r="D519" s="1" t="s">
        <v>38</v>
      </c>
      <c r="E519" s="1" t="s">
        <v>96</v>
      </c>
      <c r="F519" s="1" t="s">
        <v>103</v>
      </c>
      <c r="G519" s="1" t="s">
        <v>320</v>
      </c>
      <c r="H519" s="1" t="s">
        <v>685</v>
      </c>
      <c r="I519" s="1" t="s">
        <v>174</v>
      </c>
      <c r="J519" s="1" t="s">
        <v>101</v>
      </c>
      <c r="L519" s="1">
        <v>2676106</v>
      </c>
      <c r="M519" s="1" t="s">
        <v>727</v>
      </c>
      <c r="N519" s="8">
        <f t="shared" si="163"/>
        <v>43864</v>
      </c>
      <c r="O519" s="8">
        <f>DATE(2023,12,23)</f>
        <v>45283</v>
      </c>
      <c r="P519" s="1">
        <v>3804</v>
      </c>
      <c r="Q519" s="1">
        <v>3200</v>
      </c>
      <c r="R519" s="1">
        <f t="shared" si="164"/>
        <v>3200</v>
      </c>
      <c r="S519" s="1">
        <v>2.5</v>
      </c>
      <c r="U519" s="1">
        <f t="shared" si="165"/>
        <v>1420</v>
      </c>
      <c r="V519" s="7">
        <f t="shared" si="166"/>
        <v>2.2535211267605635</v>
      </c>
      <c r="W519" s="7">
        <f t="shared" si="167"/>
        <v>822.53521126760563</v>
      </c>
      <c r="X519" s="7">
        <f t="shared" si="168"/>
        <v>1.028169014084507</v>
      </c>
      <c r="AA519" s="8">
        <f t="shared" si="169"/>
        <v>44927</v>
      </c>
      <c r="AB519" s="8">
        <f t="shared" si="170"/>
        <v>45291</v>
      </c>
      <c r="AC519" s="1">
        <v>40</v>
      </c>
      <c r="AD519" s="1">
        <f t="shared" si="171"/>
        <v>0</v>
      </c>
      <c r="AE519" s="1">
        <f t="shared" si="172"/>
        <v>0</v>
      </c>
      <c r="AF519" s="1">
        <f t="shared" si="173"/>
        <v>357</v>
      </c>
      <c r="AG519" s="1">
        <f t="shared" si="174"/>
        <v>0</v>
      </c>
      <c r="AH519" s="1">
        <f t="shared" si="175"/>
        <v>0</v>
      </c>
      <c r="AI519" s="5">
        <f t="shared" si="176"/>
        <v>0.9780821917808219</v>
      </c>
      <c r="AJ519" s="5">
        <f t="shared" si="177"/>
        <v>1.0056338028169014</v>
      </c>
      <c r="AK519" s="5">
        <f t="shared" si="178"/>
        <v>40.225352112676056</v>
      </c>
      <c r="AL519" s="5">
        <f t="shared" si="179"/>
        <v>100.56338028169014</v>
      </c>
      <c r="AM519" s="5">
        <f t="shared" si="180"/>
        <v>0</v>
      </c>
      <c r="AN519" s="5">
        <f t="shared" si="181"/>
        <v>100.56338028169014</v>
      </c>
      <c r="AO519" s="1" t="s">
        <v>102</v>
      </c>
    </row>
    <row r="520" spans="1:41" x14ac:dyDescent="0.25">
      <c r="A520" s="1" t="s">
        <v>19</v>
      </c>
      <c r="B520" s="1" t="s">
        <v>37</v>
      </c>
      <c r="C520" s="1" t="s">
        <v>21</v>
      </c>
      <c r="D520" s="1" t="s">
        <v>38</v>
      </c>
      <c r="E520" s="1" t="s">
        <v>96</v>
      </c>
      <c r="F520" s="1" t="s">
        <v>103</v>
      </c>
      <c r="G520" s="1" t="s">
        <v>634</v>
      </c>
      <c r="H520" s="1" t="s">
        <v>635</v>
      </c>
      <c r="I520" s="1" t="s">
        <v>174</v>
      </c>
      <c r="J520" s="1" t="s">
        <v>101</v>
      </c>
      <c r="L520" s="1">
        <v>2676855</v>
      </c>
      <c r="M520" s="1" t="s">
        <v>728</v>
      </c>
      <c r="N520" s="8">
        <f>DATE(2020,3,20)</f>
        <v>43910</v>
      </c>
      <c r="O520" s="8">
        <f>DATE(2022,3,19)</f>
        <v>44639</v>
      </c>
      <c r="P520" s="1">
        <v>960</v>
      </c>
      <c r="Q520" s="1">
        <v>360</v>
      </c>
      <c r="R520" s="1">
        <f t="shared" si="164"/>
        <v>360</v>
      </c>
      <c r="S520" s="1">
        <v>3.75</v>
      </c>
      <c r="U520" s="1">
        <f t="shared" si="165"/>
        <v>730</v>
      </c>
      <c r="V520" s="7">
        <f t="shared" si="166"/>
        <v>0.49315068493150682</v>
      </c>
      <c r="W520" s="7">
        <f t="shared" si="167"/>
        <v>180</v>
      </c>
      <c r="X520" s="7">
        <f t="shared" si="168"/>
        <v>0.22500000000000001</v>
      </c>
      <c r="AA520" s="8">
        <f t="shared" si="169"/>
        <v>44927</v>
      </c>
      <c r="AB520" s="8">
        <f t="shared" si="170"/>
        <v>45291</v>
      </c>
      <c r="AC520" s="1">
        <v>13</v>
      </c>
      <c r="AD520" s="1">
        <f t="shared" si="171"/>
        <v>0</v>
      </c>
      <c r="AE520" s="1">
        <f t="shared" si="172"/>
        <v>0</v>
      </c>
      <c r="AF520" s="1">
        <f t="shared" si="173"/>
        <v>0</v>
      </c>
      <c r="AG520" s="1">
        <f t="shared" si="174"/>
        <v>0</v>
      </c>
      <c r="AH520" s="1">
        <f t="shared" si="175"/>
        <v>182.5</v>
      </c>
      <c r="AI520" s="5">
        <f t="shared" si="176"/>
        <v>0.5</v>
      </c>
      <c r="AJ520" s="5">
        <f t="shared" si="177"/>
        <v>0.1125</v>
      </c>
      <c r="AK520" s="5">
        <f t="shared" si="178"/>
        <v>0.73125000000000007</v>
      </c>
      <c r="AL520" s="5">
        <f t="shared" si="179"/>
        <v>2.7421875000000004</v>
      </c>
      <c r="AM520" s="5">
        <f t="shared" si="180"/>
        <v>0</v>
      </c>
      <c r="AN520" s="5">
        <f t="shared" si="181"/>
        <v>2.7421875000000004</v>
      </c>
      <c r="AO520" s="1" t="s">
        <v>102</v>
      </c>
    </row>
    <row r="521" spans="1:41" x14ac:dyDescent="0.25">
      <c r="A521" s="1" t="s">
        <v>19</v>
      </c>
      <c r="B521" s="1" t="s">
        <v>37</v>
      </c>
      <c r="C521" s="1" t="s">
        <v>21</v>
      </c>
      <c r="D521" s="1" t="s">
        <v>38</v>
      </c>
      <c r="E521" s="1" t="s">
        <v>172</v>
      </c>
      <c r="F521" s="1" t="s">
        <v>103</v>
      </c>
      <c r="G521" s="1" t="s">
        <v>114</v>
      </c>
      <c r="H521" s="1" t="s">
        <v>729</v>
      </c>
      <c r="I521" s="1" t="s">
        <v>174</v>
      </c>
      <c r="J521" s="1" t="s">
        <v>101</v>
      </c>
      <c r="K521" s="1" t="s">
        <v>175</v>
      </c>
      <c r="L521" s="1">
        <v>2790079</v>
      </c>
      <c r="M521" s="1" t="s">
        <v>730</v>
      </c>
      <c r="N521" s="8">
        <f>DATE(2020,11,23)</f>
        <v>44158</v>
      </c>
      <c r="O521" s="8">
        <f>DATE(2022,11,22)</f>
        <v>44887</v>
      </c>
      <c r="P521" s="1">
        <v>1500</v>
      </c>
      <c r="Q521" s="1">
        <v>800</v>
      </c>
      <c r="R521" s="1">
        <f t="shared" si="164"/>
        <v>800</v>
      </c>
      <c r="S521" s="1">
        <v>2.5</v>
      </c>
      <c r="U521" s="1">
        <f t="shared" si="165"/>
        <v>730</v>
      </c>
      <c r="V521" s="7">
        <f t="shared" si="166"/>
        <v>1.095890410958904</v>
      </c>
      <c r="W521" s="7">
        <f t="shared" si="167"/>
        <v>400</v>
      </c>
      <c r="X521" s="7">
        <f t="shared" si="168"/>
        <v>0.5</v>
      </c>
      <c r="AA521" s="8">
        <f t="shared" si="169"/>
        <v>44927</v>
      </c>
      <c r="AB521" s="8">
        <f t="shared" si="170"/>
        <v>45291</v>
      </c>
      <c r="AC521" s="1">
        <v>0</v>
      </c>
      <c r="AD521" s="1">
        <f t="shared" si="171"/>
        <v>0</v>
      </c>
      <c r="AE521" s="1">
        <f t="shared" si="172"/>
        <v>0</v>
      </c>
      <c r="AF521" s="1">
        <f t="shared" si="173"/>
        <v>0</v>
      </c>
      <c r="AG521" s="1">
        <f t="shared" si="174"/>
        <v>0</v>
      </c>
      <c r="AH521" s="1">
        <f t="shared" si="175"/>
        <v>182.5</v>
      </c>
      <c r="AI521" s="5">
        <f t="shared" si="176"/>
        <v>0.5</v>
      </c>
      <c r="AJ521" s="5">
        <f t="shared" si="177"/>
        <v>0.25</v>
      </c>
      <c r="AK521" s="5">
        <f t="shared" si="178"/>
        <v>0</v>
      </c>
      <c r="AL521" s="5">
        <f t="shared" si="179"/>
        <v>0</v>
      </c>
      <c r="AM521" s="5">
        <f t="shared" si="180"/>
        <v>0</v>
      </c>
      <c r="AN521" s="5">
        <f t="shared" si="181"/>
        <v>0</v>
      </c>
      <c r="AO521" s="1" t="s">
        <v>122</v>
      </c>
    </row>
    <row r="522" spans="1:41" x14ac:dyDescent="0.25">
      <c r="A522" s="1" t="s">
        <v>19</v>
      </c>
      <c r="B522" s="1" t="s">
        <v>37</v>
      </c>
      <c r="C522" s="1" t="s">
        <v>21</v>
      </c>
      <c r="D522" s="1" t="s">
        <v>38</v>
      </c>
      <c r="E522" s="1" t="s">
        <v>172</v>
      </c>
      <c r="F522" s="1" t="s">
        <v>534</v>
      </c>
      <c r="G522" s="1" t="s">
        <v>185</v>
      </c>
      <c r="H522" s="1" t="s">
        <v>493</v>
      </c>
      <c r="I522" s="1" t="s">
        <v>174</v>
      </c>
      <c r="J522" s="1" t="s">
        <v>101</v>
      </c>
      <c r="L522" s="1">
        <v>2765636</v>
      </c>
      <c r="M522" s="1" t="s">
        <v>731</v>
      </c>
      <c r="N522" s="8">
        <f>DATE(2021,3,1)</f>
        <v>44256</v>
      </c>
      <c r="O522" s="8">
        <f>DATE(2022,4,1)</f>
        <v>44652</v>
      </c>
      <c r="P522" s="1">
        <v>360</v>
      </c>
      <c r="Q522" s="1">
        <v>360</v>
      </c>
      <c r="R522" s="1">
        <f t="shared" si="164"/>
        <v>360</v>
      </c>
      <c r="S522" s="1">
        <v>2</v>
      </c>
      <c r="U522" s="1">
        <f t="shared" si="165"/>
        <v>397</v>
      </c>
      <c r="V522" s="7">
        <f t="shared" si="166"/>
        <v>0.90680100755667503</v>
      </c>
      <c r="W522" s="7">
        <f t="shared" si="167"/>
        <v>330.9823677581864</v>
      </c>
      <c r="X522" s="7">
        <f t="shared" si="168"/>
        <v>0.41372795969773302</v>
      </c>
      <c r="AA522" s="8">
        <f t="shared" si="169"/>
        <v>44927</v>
      </c>
      <c r="AB522" s="8">
        <f t="shared" si="170"/>
        <v>45291</v>
      </c>
      <c r="AC522" s="1">
        <v>178</v>
      </c>
      <c r="AD522" s="1">
        <f t="shared" si="171"/>
        <v>0</v>
      </c>
      <c r="AE522" s="1">
        <f t="shared" si="172"/>
        <v>0</v>
      </c>
      <c r="AF522" s="1">
        <f t="shared" si="173"/>
        <v>0</v>
      </c>
      <c r="AG522" s="1">
        <f t="shared" si="174"/>
        <v>0</v>
      </c>
      <c r="AH522" s="1">
        <f t="shared" si="175"/>
        <v>182.5</v>
      </c>
      <c r="AI522" s="5">
        <f t="shared" si="176"/>
        <v>0.5</v>
      </c>
      <c r="AJ522" s="5">
        <f t="shared" si="177"/>
        <v>0.20686397984886651</v>
      </c>
      <c r="AK522" s="5">
        <f t="shared" si="178"/>
        <v>18.41089420654912</v>
      </c>
      <c r="AL522" s="5">
        <f t="shared" si="179"/>
        <v>36.82178841309824</v>
      </c>
      <c r="AM522" s="5">
        <f t="shared" si="180"/>
        <v>0</v>
      </c>
      <c r="AN522" s="5">
        <f t="shared" si="181"/>
        <v>36.82178841309824</v>
      </c>
      <c r="AO522" s="1" t="s">
        <v>111</v>
      </c>
    </row>
    <row r="523" spans="1:41" x14ac:dyDescent="0.25">
      <c r="A523" s="1" t="s">
        <v>19</v>
      </c>
      <c r="B523" s="1" t="s">
        <v>37</v>
      </c>
      <c r="C523" s="1" t="s">
        <v>21</v>
      </c>
      <c r="D523" s="1" t="s">
        <v>38</v>
      </c>
      <c r="E523" s="1" t="s">
        <v>96</v>
      </c>
      <c r="F523" s="1" t="s">
        <v>103</v>
      </c>
      <c r="G523" s="1" t="s">
        <v>702</v>
      </c>
      <c r="H523" s="1" t="s">
        <v>703</v>
      </c>
      <c r="I523" s="1" t="s">
        <v>174</v>
      </c>
      <c r="J523" s="1" t="s">
        <v>101</v>
      </c>
      <c r="L523" s="1">
        <v>2791716</v>
      </c>
      <c r="M523" s="1" t="s">
        <v>732</v>
      </c>
      <c r="N523" s="8">
        <f>DATE(2021,4,9)</f>
        <v>44295</v>
      </c>
      <c r="O523" s="8">
        <f>DATE(2023,3,29)</f>
        <v>45014</v>
      </c>
      <c r="P523" s="1">
        <v>480</v>
      </c>
      <c r="Q523" s="1">
        <v>360</v>
      </c>
      <c r="R523" s="1">
        <f t="shared" si="164"/>
        <v>360</v>
      </c>
      <c r="S523" s="1">
        <v>3.75</v>
      </c>
      <c r="U523" s="1">
        <f t="shared" si="165"/>
        <v>720</v>
      </c>
      <c r="V523" s="7">
        <f t="shared" si="166"/>
        <v>0.5</v>
      </c>
      <c r="W523" s="7">
        <f t="shared" si="167"/>
        <v>182.5</v>
      </c>
      <c r="X523" s="7">
        <f t="shared" si="168"/>
        <v>0.22812499999999999</v>
      </c>
      <c r="AA523" s="8">
        <f t="shared" si="169"/>
        <v>44927</v>
      </c>
      <c r="AB523" s="8">
        <f t="shared" si="170"/>
        <v>45291</v>
      </c>
      <c r="AC523" s="1">
        <v>67</v>
      </c>
      <c r="AD523" s="1">
        <f t="shared" si="171"/>
        <v>0</v>
      </c>
      <c r="AE523" s="1">
        <f t="shared" si="172"/>
        <v>0</v>
      </c>
      <c r="AF523" s="1">
        <f t="shared" si="173"/>
        <v>88</v>
      </c>
      <c r="AG523" s="1">
        <f t="shared" si="174"/>
        <v>0</v>
      </c>
      <c r="AH523" s="1">
        <f t="shared" si="175"/>
        <v>0</v>
      </c>
      <c r="AI523" s="5">
        <f t="shared" si="176"/>
        <v>0.24109589041095891</v>
      </c>
      <c r="AJ523" s="5">
        <f t="shared" si="177"/>
        <v>5.5E-2</v>
      </c>
      <c r="AK523" s="5">
        <f t="shared" si="178"/>
        <v>3.6850000000000001</v>
      </c>
      <c r="AL523" s="5">
        <f t="shared" si="179"/>
        <v>13.81875</v>
      </c>
      <c r="AM523" s="5">
        <f t="shared" si="180"/>
        <v>0</v>
      </c>
      <c r="AN523" s="5">
        <f t="shared" si="181"/>
        <v>13.81875</v>
      </c>
      <c r="AO523" s="1" t="s">
        <v>102</v>
      </c>
    </row>
    <row r="524" spans="1:41" x14ac:dyDescent="0.25">
      <c r="A524" s="1" t="s">
        <v>19</v>
      </c>
      <c r="B524" s="1" t="s">
        <v>37</v>
      </c>
      <c r="C524" s="1" t="s">
        <v>21</v>
      </c>
      <c r="D524" s="1" t="s">
        <v>38</v>
      </c>
      <c r="E524" s="1" t="s">
        <v>96</v>
      </c>
      <c r="F524" s="1" t="s">
        <v>103</v>
      </c>
      <c r="G524" s="1" t="s">
        <v>114</v>
      </c>
      <c r="H524" s="1" t="s">
        <v>574</v>
      </c>
      <c r="I524" s="1" t="s">
        <v>331</v>
      </c>
      <c r="J524" s="1" t="s">
        <v>101</v>
      </c>
      <c r="K524" s="1" t="s">
        <v>116</v>
      </c>
      <c r="L524" s="1">
        <v>2760245</v>
      </c>
      <c r="M524" s="1" t="s">
        <v>733</v>
      </c>
      <c r="N524" s="8">
        <f t="shared" ref="N524:N546" si="182">DATE(2021,4,26)</f>
        <v>44312</v>
      </c>
      <c r="O524" s="8">
        <f>DATE(2024,12,23)</f>
        <v>45649</v>
      </c>
      <c r="P524" s="1">
        <v>3672</v>
      </c>
      <c r="Q524" s="1">
        <v>1200</v>
      </c>
      <c r="R524" s="1">
        <f t="shared" si="164"/>
        <v>3200</v>
      </c>
      <c r="S524" s="1">
        <v>2.5</v>
      </c>
      <c r="U524" s="1">
        <f t="shared" si="165"/>
        <v>1338</v>
      </c>
      <c r="V524" s="7">
        <f t="shared" si="166"/>
        <v>2.391629297458894</v>
      </c>
      <c r="W524" s="7">
        <f t="shared" si="167"/>
        <v>872.94469357249625</v>
      </c>
      <c r="X524" s="7">
        <f t="shared" si="168"/>
        <v>1.0911808669656202</v>
      </c>
      <c r="AA524" s="8">
        <f t="shared" si="169"/>
        <v>44927</v>
      </c>
      <c r="AB524" s="8">
        <f t="shared" si="170"/>
        <v>45291</v>
      </c>
      <c r="AC524" s="1">
        <v>46</v>
      </c>
      <c r="AD524" s="1">
        <f t="shared" si="171"/>
        <v>365</v>
      </c>
      <c r="AE524" s="1">
        <f t="shared" si="172"/>
        <v>0</v>
      </c>
      <c r="AF524" s="1">
        <f t="shared" si="173"/>
        <v>0</v>
      </c>
      <c r="AG524" s="1">
        <f t="shared" si="174"/>
        <v>0</v>
      </c>
      <c r="AH524" s="1">
        <f t="shared" si="175"/>
        <v>0</v>
      </c>
      <c r="AI524" s="5">
        <f t="shared" si="176"/>
        <v>1</v>
      </c>
      <c r="AJ524" s="5">
        <f t="shared" si="177"/>
        <v>1.0911808669656202</v>
      </c>
      <c r="AK524" s="5">
        <f t="shared" si="178"/>
        <v>50.194319880418533</v>
      </c>
      <c r="AL524" s="5">
        <f t="shared" si="179"/>
        <v>125.48579970104633</v>
      </c>
      <c r="AM524" s="5">
        <f t="shared" si="180"/>
        <v>0</v>
      </c>
      <c r="AN524" s="5">
        <f t="shared" si="181"/>
        <v>125.48579970104633</v>
      </c>
      <c r="AO524" s="1" t="s">
        <v>102</v>
      </c>
    </row>
    <row r="525" spans="1:41" x14ac:dyDescent="0.25">
      <c r="A525" s="1" t="s">
        <v>19</v>
      </c>
      <c r="B525" s="1" t="s">
        <v>37</v>
      </c>
      <c r="C525" s="1" t="s">
        <v>21</v>
      </c>
      <c r="D525" s="1" t="s">
        <v>38</v>
      </c>
      <c r="E525" s="1" t="s">
        <v>96</v>
      </c>
      <c r="F525" s="1" t="s">
        <v>103</v>
      </c>
      <c r="G525" s="1" t="s">
        <v>114</v>
      </c>
      <c r="H525" s="1" t="s">
        <v>569</v>
      </c>
      <c r="I525" s="1" t="s">
        <v>331</v>
      </c>
      <c r="J525" s="1" t="s">
        <v>101</v>
      </c>
      <c r="K525" s="1" t="s">
        <v>116</v>
      </c>
      <c r="L525" s="1">
        <v>2760246</v>
      </c>
      <c r="M525" s="1" t="s">
        <v>734</v>
      </c>
      <c r="N525" s="8">
        <f t="shared" si="182"/>
        <v>44312</v>
      </c>
      <c r="O525" s="8">
        <f>DATE(2024,12,23)</f>
        <v>45649</v>
      </c>
      <c r="P525" s="1">
        <v>3826</v>
      </c>
      <c r="Q525" s="1">
        <v>1200</v>
      </c>
      <c r="R525" s="1">
        <f t="shared" si="164"/>
        <v>3200</v>
      </c>
      <c r="S525" s="1">
        <v>2.5</v>
      </c>
      <c r="U525" s="1">
        <f t="shared" si="165"/>
        <v>1338</v>
      </c>
      <c r="V525" s="7">
        <f t="shared" si="166"/>
        <v>2.391629297458894</v>
      </c>
      <c r="W525" s="7">
        <f t="shared" si="167"/>
        <v>872.94469357249625</v>
      </c>
      <c r="X525" s="7">
        <f t="shared" si="168"/>
        <v>1.0911808669656202</v>
      </c>
      <c r="AA525" s="8">
        <f t="shared" si="169"/>
        <v>44927</v>
      </c>
      <c r="AB525" s="8">
        <f t="shared" si="170"/>
        <v>45291</v>
      </c>
      <c r="AC525" s="1">
        <v>49</v>
      </c>
      <c r="AD525" s="1">
        <f t="shared" si="171"/>
        <v>365</v>
      </c>
      <c r="AE525" s="1">
        <f t="shared" si="172"/>
        <v>0</v>
      </c>
      <c r="AF525" s="1">
        <f t="shared" si="173"/>
        <v>0</v>
      </c>
      <c r="AG525" s="1">
        <f t="shared" si="174"/>
        <v>0</v>
      </c>
      <c r="AH525" s="1">
        <f t="shared" si="175"/>
        <v>0</v>
      </c>
      <c r="AI525" s="5">
        <f t="shared" si="176"/>
        <v>1</v>
      </c>
      <c r="AJ525" s="5">
        <f t="shared" si="177"/>
        <v>1.0911808669656202</v>
      </c>
      <c r="AK525" s="5">
        <f t="shared" si="178"/>
        <v>53.467862481315393</v>
      </c>
      <c r="AL525" s="5">
        <f t="shared" si="179"/>
        <v>133.66965620328847</v>
      </c>
      <c r="AM525" s="5">
        <f t="shared" si="180"/>
        <v>0</v>
      </c>
      <c r="AN525" s="5">
        <f t="shared" si="181"/>
        <v>133.66965620328847</v>
      </c>
      <c r="AO525" s="1" t="s">
        <v>102</v>
      </c>
    </row>
    <row r="526" spans="1:41" x14ac:dyDescent="0.25">
      <c r="A526" s="1" t="s">
        <v>19</v>
      </c>
      <c r="B526" s="1" t="s">
        <v>37</v>
      </c>
      <c r="C526" s="1" t="s">
        <v>21</v>
      </c>
      <c r="D526" s="1" t="s">
        <v>38</v>
      </c>
      <c r="E526" s="1" t="s">
        <v>96</v>
      </c>
      <c r="F526" s="1" t="s">
        <v>103</v>
      </c>
      <c r="G526" s="1" t="s">
        <v>114</v>
      </c>
      <c r="H526" s="1" t="s">
        <v>592</v>
      </c>
      <c r="I526" s="1" t="s">
        <v>210</v>
      </c>
      <c r="J526" s="1" t="s">
        <v>101</v>
      </c>
      <c r="K526" s="1" t="s">
        <v>116</v>
      </c>
      <c r="L526" s="1">
        <v>2760247</v>
      </c>
      <c r="M526" s="1" t="s">
        <v>735</v>
      </c>
      <c r="N526" s="8">
        <f t="shared" si="182"/>
        <v>44312</v>
      </c>
      <c r="O526" s="8">
        <f>DATE(2023,12,23)</f>
        <v>45283</v>
      </c>
      <c r="P526" s="1">
        <v>3332</v>
      </c>
      <c r="Q526" s="1">
        <v>1200</v>
      </c>
      <c r="R526" s="1">
        <f t="shared" si="164"/>
        <v>3200</v>
      </c>
      <c r="S526" s="1">
        <v>2.5</v>
      </c>
      <c r="U526" s="1">
        <f t="shared" si="165"/>
        <v>972</v>
      </c>
      <c r="V526" s="7">
        <f t="shared" si="166"/>
        <v>3.2921810699588478</v>
      </c>
      <c r="W526" s="7">
        <f t="shared" si="167"/>
        <v>1201.6460905349795</v>
      </c>
      <c r="X526" s="7">
        <f t="shared" si="168"/>
        <v>1.5020576131687244</v>
      </c>
      <c r="AA526" s="8">
        <f t="shared" si="169"/>
        <v>44927</v>
      </c>
      <c r="AB526" s="8">
        <f t="shared" si="170"/>
        <v>45291</v>
      </c>
      <c r="AC526" s="1">
        <v>38</v>
      </c>
      <c r="AD526" s="1">
        <f t="shared" si="171"/>
        <v>0</v>
      </c>
      <c r="AE526" s="1">
        <f t="shared" si="172"/>
        <v>0</v>
      </c>
      <c r="AF526" s="1">
        <f t="shared" si="173"/>
        <v>357</v>
      </c>
      <c r="AG526" s="1">
        <f t="shared" si="174"/>
        <v>0</v>
      </c>
      <c r="AH526" s="1">
        <f t="shared" si="175"/>
        <v>0</v>
      </c>
      <c r="AI526" s="5">
        <f t="shared" si="176"/>
        <v>0.9780821917808219</v>
      </c>
      <c r="AJ526" s="5">
        <f t="shared" si="177"/>
        <v>1.4691358024691359</v>
      </c>
      <c r="AK526" s="5">
        <f t="shared" si="178"/>
        <v>55.827160493827165</v>
      </c>
      <c r="AL526" s="5">
        <f t="shared" si="179"/>
        <v>139.5679012345679</v>
      </c>
      <c r="AM526" s="5">
        <f t="shared" si="180"/>
        <v>0</v>
      </c>
      <c r="AN526" s="5">
        <f t="shared" si="181"/>
        <v>139.5679012345679</v>
      </c>
      <c r="AO526" s="1" t="s">
        <v>102</v>
      </c>
    </row>
    <row r="527" spans="1:41" x14ac:dyDescent="0.25">
      <c r="A527" s="1" t="s">
        <v>19</v>
      </c>
      <c r="B527" s="1" t="s">
        <v>37</v>
      </c>
      <c r="C527" s="1" t="s">
        <v>21</v>
      </c>
      <c r="D527" s="1" t="s">
        <v>38</v>
      </c>
      <c r="E527" s="1" t="s">
        <v>96</v>
      </c>
      <c r="F527" s="1" t="s">
        <v>103</v>
      </c>
      <c r="G527" s="1" t="s">
        <v>114</v>
      </c>
      <c r="H527" s="1" t="s">
        <v>590</v>
      </c>
      <c r="I527" s="1" t="s">
        <v>210</v>
      </c>
      <c r="J527" s="1" t="s">
        <v>101</v>
      </c>
      <c r="K527" s="1" t="s">
        <v>116</v>
      </c>
      <c r="L527" s="1">
        <v>2760248</v>
      </c>
      <c r="M527" s="1" t="s">
        <v>736</v>
      </c>
      <c r="N527" s="8">
        <f t="shared" si="182"/>
        <v>44312</v>
      </c>
      <c r="O527" s="8">
        <f>DATE(2023,12,23)</f>
        <v>45283</v>
      </c>
      <c r="P527" s="1">
        <v>3332</v>
      </c>
      <c r="Q527" s="1">
        <v>1200</v>
      </c>
      <c r="R527" s="1">
        <f t="shared" si="164"/>
        <v>3200</v>
      </c>
      <c r="S527" s="1">
        <v>2.5</v>
      </c>
      <c r="U527" s="1">
        <f t="shared" si="165"/>
        <v>972</v>
      </c>
      <c r="V527" s="7">
        <f t="shared" si="166"/>
        <v>3.2921810699588478</v>
      </c>
      <c r="W527" s="7">
        <f t="shared" si="167"/>
        <v>1201.6460905349795</v>
      </c>
      <c r="X527" s="7">
        <f t="shared" si="168"/>
        <v>1.5020576131687244</v>
      </c>
      <c r="AA527" s="8">
        <f t="shared" si="169"/>
        <v>44927</v>
      </c>
      <c r="AB527" s="8">
        <f t="shared" si="170"/>
        <v>45291</v>
      </c>
      <c r="AC527" s="1">
        <v>33</v>
      </c>
      <c r="AD527" s="1">
        <f t="shared" si="171"/>
        <v>0</v>
      </c>
      <c r="AE527" s="1">
        <f t="shared" si="172"/>
        <v>0</v>
      </c>
      <c r="AF527" s="1">
        <f t="shared" si="173"/>
        <v>357</v>
      </c>
      <c r="AG527" s="1">
        <f t="shared" si="174"/>
        <v>0</v>
      </c>
      <c r="AH527" s="1">
        <f t="shared" si="175"/>
        <v>0</v>
      </c>
      <c r="AI527" s="5">
        <f t="shared" si="176"/>
        <v>0.9780821917808219</v>
      </c>
      <c r="AJ527" s="5">
        <f t="shared" si="177"/>
        <v>1.4691358024691359</v>
      </c>
      <c r="AK527" s="5">
        <f t="shared" si="178"/>
        <v>48.481481481481481</v>
      </c>
      <c r="AL527" s="5">
        <f t="shared" si="179"/>
        <v>121.2037037037037</v>
      </c>
      <c r="AM527" s="5">
        <f t="shared" si="180"/>
        <v>0</v>
      </c>
      <c r="AN527" s="5">
        <f t="shared" si="181"/>
        <v>121.2037037037037</v>
      </c>
      <c r="AO527" s="1" t="s">
        <v>102</v>
      </c>
    </row>
    <row r="528" spans="1:41" x14ac:dyDescent="0.25">
      <c r="A528" s="1" t="s">
        <v>19</v>
      </c>
      <c r="B528" s="1" t="s">
        <v>37</v>
      </c>
      <c r="C528" s="1" t="s">
        <v>21</v>
      </c>
      <c r="D528" s="1" t="s">
        <v>38</v>
      </c>
      <c r="E528" s="1" t="s">
        <v>96</v>
      </c>
      <c r="F528" s="1" t="s">
        <v>103</v>
      </c>
      <c r="G528" s="1" t="s">
        <v>114</v>
      </c>
      <c r="H528" s="1" t="s">
        <v>577</v>
      </c>
      <c r="I528" s="1" t="s">
        <v>336</v>
      </c>
      <c r="J528" s="1" t="s">
        <v>101</v>
      </c>
      <c r="K528" s="1" t="s">
        <v>116</v>
      </c>
      <c r="L528" s="1">
        <v>2760249</v>
      </c>
      <c r="M528" s="1" t="s">
        <v>737</v>
      </c>
      <c r="N528" s="8">
        <f t="shared" si="182"/>
        <v>44312</v>
      </c>
      <c r="O528" s="8">
        <f>DATE(2023,12,23)</f>
        <v>45283</v>
      </c>
      <c r="P528" s="1">
        <v>986</v>
      </c>
      <c r="Q528" s="1">
        <v>800</v>
      </c>
      <c r="R528" s="1">
        <f t="shared" si="164"/>
        <v>3000</v>
      </c>
      <c r="S528" s="1">
        <v>1.5</v>
      </c>
      <c r="U528" s="1">
        <f t="shared" si="165"/>
        <v>972</v>
      </c>
      <c r="V528" s="7">
        <f t="shared" si="166"/>
        <v>1.0144032921810699</v>
      </c>
      <c r="W528" s="7">
        <f t="shared" si="167"/>
        <v>370.25720164609055</v>
      </c>
      <c r="X528" s="7">
        <f t="shared" si="168"/>
        <v>0.46282150205761319</v>
      </c>
      <c r="AA528" s="8">
        <f t="shared" si="169"/>
        <v>44927</v>
      </c>
      <c r="AB528" s="8">
        <f t="shared" si="170"/>
        <v>45291</v>
      </c>
      <c r="AC528" s="1">
        <v>69</v>
      </c>
      <c r="AD528" s="1">
        <f t="shared" si="171"/>
        <v>0</v>
      </c>
      <c r="AE528" s="1">
        <f t="shared" si="172"/>
        <v>0</v>
      </c>
      <c r="AF528" s="1">
        <f t="shared" si="173"/>
        <v>357</v>
      </c>
      <c r="AG528" s="1">
        <f t="shared" si="174"/>
        <v>0</v>
      </c>
      <c r="AH528" s="1">
        <f t="shared" si="175"/>
        <v>0</v>
      </c>
      <c r="AI528" s="5">
        <f t="shared" si="176"/>
        <v>0.9780821917808219</v>
      </c>
      <c r="AJ528" s="5">
        <f t="shared" si="177"/>
        <v>0.45267746913580248</v>
      </c>
      <c r="AK528" s="5">
        <f t="shared" si="178"/>
        <v>31.234745370370373</v>
      </c>
      <c r="AL528" s="5">
        <f t="shared" si="179"/>
        <v>46.852118055555557</v>
      </c>
      <c r="AM528" s="5">
        <f t="shared" si="180"/>
        <v>0</v>
      </c>
      <c r="AN528" s="5">
        <f t="shared" si="181"/>
        <v>46.852118055555557</v>
      </c>
      <c r="AO528" s="1" t="s">
        <v>102</v>
      </c>
    </row>
    <row r="529" spans="1:41" x14ac:dyDescent="0.25">
      <c r="A529" s="1" t="s">
        <v>19</v>
      </c>
      <c r="B529" s="1" t="s">
        <v>37</v>
      </c>
      <c r="C529" s="1" t="s">
        <v>21</v>
      </c>
      <c r="D529" s="1" t="s">
        <v>38</v>
      </c>
      <c r="E529" s="1" t="s">
        <v>96</v>
      </c>
      <c r="F529" s="1" t="s">
        <v>103</v>
      </c>
      <c r="G529" s="1" t="s">
        <v>114</v>
      </c>
      <c r="H529" s="1" t="s">
        <v>247</v>
      </c>
      <c r="I529" s="1" t="s">
        <v>162</v>
      </c>
      <c r="J529" s="1" t="s">
        <v>101</v>
      </c>
      <c r="K529" s="1" t="s">
        <v>116</v>
      </c>
      <c r="L529" s="1">
        <v>2760250</v>
      </c>
      <c r="M529" s="1" t="s">
        <v>738</v>
      </c>
      <c r="N529" s="8">
        <f t="shared" si="182"/>
        <v>44312</v>
      </c>
      <c r="O529" s="8">
        <f>DATE(2023,12,23)</f>
        <v>45283</v>
      </c>
      <c r="P529" s="1">
        <v>3740</v>
      </c>
      <c r="Q529" s="1">
        <v>1200</v>
      </c>
      <c r="R529" s="1">
        <f t="shared" si="164"/>
        <v>3200</v>
      </c>
      <c r="S529" s="1">
        <v>1.5</v>
      </c>
      <c r="U529" s="1">
        <f t="shared" si="165"/>
        <v>972</v>
      </c>
      <c r="V529" s="7">
        <f t="shared" si="166"/>
        <v>3.2921810699588478</v>
      </c>
      <c r="W529" s="7">
        <f t="shared" si="167"/>
        <v>1201.6460905349795</v>
      </c>
      <c r="X529" s="7">
        <f t="shared" si="168"/>
        <v>1.5020576131687244</v>
      </c>
      <c r="AA529" s="8">
        <f t="shared" si="169"/>
        <v>44927</v>
      </c>
      <c r="AB529" s="8">
        <f t="shared" si="170"/>
        <v>45291</v>
      </c>
      <c r="AC529" s="1">
        <v>72</v>
      </c>
      <c r="AD529" s="1">
        <f t="shared" si="171"/>
        <v>0</v>
      </c>
      <c r="AE529" s="1">
        <f t="shared" si="172"/>
        <v>0</v>
      </c>
      <c r="AF529" s="1">
        <f t="shared" si="173"/>
        <v>357</v>
      </c>
      <c r="AG529" s="1">
        <f t="shared" si="174"/>
        <v>0</v>
      </c>
      <c r="AH529" s="1">
        <f t="shared" si="175"/>
        <v>0</v>
      </c>
      <c r="AI529" s="5">
        <f t="shared" si="176"/>
        <v>0.9780821917808219</v>
      </c>
      <c r="AJ529" s="5">
        <f t="shared" si="177"/>
        <v>1.4691358024691359</v>
      </c>
      <c r="AK529" s="5">
        <f t="shared" si="178"/>
        <v>105.77777777777779</v>
      </c>
      <c r="AL529" s="5">
        <f t="shared" si="179"/>
        <v>158.66666666666669</v>
      </c>
      <c r="AM529" s="5">
        <f t="shared" si="180"/>
        <v>0</v>
      </c>
      <c r="AN529" s="5">
        <f t="shared" si="181"/>
        <v>158.66666666666669</v>
      </c>
      <c r="AO529" s="1" t="s">
        <v>102</v>
      </c>
    </row>
    <row r="530" spans="1:41" x14ac:dyDescent="0.25">
      <c r="A530" s="1" t="s">
        <v>19</v>
      </c>
      <c r="B530" s="1" t="s">
        <v>37</v>
      </c>
      <c r="C530" s="1" t="s">
        <v>21</v>
      </c>
      <c r="D530" s="1" t="s">
        <v>38</v>
      </c>
      <c r="E530" s="1" t="s">
        <v>96</v>
      </c>
      <c r="F530" s="1" t="s">
        <v>103</v>
      </c>
      <c r="G530" s="1" t="s">
        <v>114</v>
      </c>
      <c r="H530" s="1" t="s">
        <v>260</v>
      </c>
      <c r="I530" s="1" t="s">
        <v>100</v>
      </c>
      <c r="J530" s="1" t="s">
        <v>101</v>
      </c>
      <c r="K530" s="1" t="s">
        <v>116</v>
      </c>
      <c r="L530" s="1">
        <v>2760251</v>
      </c>
      <c r="M530" s="1" t="s">
        <v>739</v>
      </c>
      <c r="N530" s="8">
        <f t="shared" si="182"/>
        <v>44312</v>
      </c>
      <c r="O530" s="8">
        <f>DATE(2023,12,23)</f>
        <v>45283</v>
      </c>
      <c r="P530" s="1">
        <v>3973</v>
      </c>
      <c r="Q530" s="1">
        <v>800</v>
      </c>
      <c r="R530" s="1">
        <f t="shared" si="164"/>
        <v>3000</v>
      </c>
      <c r="S530" s="1">
        <v>1.5</v>
      </c>
      <c r="U530" s="1">
        <f t="shared" si="165"/>
        <v>972</v>
      </c>
      <c r="V530" s="7">
        <f t="shared" si="166"/>
        <v>3.0864197530864197</v>
      </c>
      <c r="W530" s="7">
        <f t="shared" si="167"/>
        <v>1126.5432098765432</v>
      </c>
      <c r="X530" s="7">
        <f t="shared" si="168"/>
        <v>1.408179012345679</v>
      </c>
      <c r="AA530" s="8">
        <f t="shared" si="169"/>
        <v>44927</v>
      </c>
      <c r="AB530" s="8">
        <f t="shared" si="170"/>
        <v>45291</v>
      </c>
      <c r="AC530" s="1">
        <v>70</v>
      </c>
      <c r="AD530" s="1">
        <f t="shared" si="171"/>
        <v>0</v>
      </c>
      <c r="AE530" s="1">
        <f t="shared" si="172"/>
        <v>0</v>
      </c>
      <c r="AF530" s="1">
        <f t="shared" si="173"/>
        <v>357</v>
      </c>
      <c r="AG530" s="1">
        <f t="shared" si="174"/>
        <v>0</v>
      </c>
      <c r="AH530" s="1">
        <f t="shared" si="175"/>
        <v>0</v>
      </c>
      <c r="AI530" s="5">
        <f t="shared" si="176"/>
        <v>0.9780821917808219</v>
      </c>
      <c r="AJ530" s="5">
        <f t="shared" si="177"/>
        <v>1.3773148148148147</v>
      </c>
      <c r="AK530" s="5">
        <f t="shared" si="178"/>
        <v>96.412037037037024</v>
      </c>
      <c r="AL530" s="5">
        <f t="shared" si="179"/>
        <v>144.61805555555554</v>
      </c>
      <c r="AM530" s="5">
        <f t="shared" si="180"/>
        <v>0</v>
      </c>
      <c r="AN530" s="5">
        <f t="shared" si="181"/>
        <v>144.61805555555554</v>
      </c>
      <c r="AO530" s="1" t="s">
        <v>102</v>
      </c>
    </row>
    <row r="531" spans="1:41" x14ac:dyDescent="0.25">
      <c r="A531" s="1" t="s">
        <v>19</v>
      </c>
      <c r="B531" s="1" t="s">
        <v>37</v>
      </c>
      <c r="C531" s="1" t="s">
        <v>21</v>
      </c>
      <c r="D531" s="1" t="s">
        <v>38</v>
      </c>
      <c r="E531" s="1" t="s">
        <v>96</v>
      </c>
      <c r="F531" s="1" t="s">
        <v>103</v>
      </c>
      <c r="G531" s="1" t="s">
        <v>114</v>
      </c>
      <c r="H531" s="1" t="s">
        <v>574</v>
      </c>
      <c r="I531" s="1" t="s">
        <v>331</v>
      </c>
      <c r="J531" s="1" t="s">
        <v>101</v>
      </c>
      <c r="K531" s="1" t="s">
        <v>175</v>
      </c>
      <c r="L531" s="1">
        <v>2760767</v>
      </c>
      <c r="M531" s="1" t="s">
        <v>740</v>
      </c>
      <c r="N531" s="8">
        <f t="shared" si="182"/>
        <v>44312</v>
      </c>
      <c r="O531" s="8">
        <f>DATE(2022,12,23)</f>
        <v>44918</v>
      </c>
      <c r="P531" s="1">
        <v>1258</v>
      </c>
      <c r="Q531" s="1">
        <v>1200</v>
      </c>
      <c r="R531" s="1">
        <f t="shared" si="164"/>
        <v>1200</v>
      </c>
      <c r="S531" s="1">
        <v>2.5</v>
      </c>
      <c r="U531" s="1">
        <f t="shared" si="165"/>
        <v>607</v>
      </c>
      <c r="V531" s="7">
        <f t="shared" si="166"/>
        <v>1.9769357495881383</v>
      </c>
      <c r="W531" s="7">
        <f t="shared" si="167"/>
        <v>721.58154859967044</v>
      </c>
      <c r="X531" s="7">
        <f t="shared" si="168"/>
        <v>0.90197693574958804</v>
      </c>
      <c r="AA531" s="8">
        <f t="shared" si="169"/>
        <v>44927</v>
      </c>
      <c r="AB531" s="8">
        <f t="shared" si="170"/>
        <v>45291</v>
      </c>
      <c r="AC531" s="1">
        <v>19</v>
      </c>
      <c r="AD531" s="1">
        <f t="shared" si="171"/>
        <v>0</v>
      </c>
      <c r="AE531" s="1">
        <f t="shared" si="172"/>
        <v>0</v>
      </c>
      <c r="AF531" s="1">
        <f t="shared" si="173"/>
        <v>0</v>
      </c>
      <c r="AG531" s="1">
        <f t="shared" si="174"/>
        <v>0</v>
      </c>
      <c r="AH531" s="1">
        <f t="shared" si="175"/>
        <v>182.5</v>
      </c>
      <c r="AI531" s="5">
        <f t="shared" si="176"/>
        <v>0.5</v>
      </c>
      <c r="AJ531" s="5">
        <f t="shared" si="177"/>
        <v>0.45098846787479402</v>
      </c>
      <c r="AK531" s="5">
        <f t="shared" si="178"/>
        <v>4.2843904448105432</v>
      </c>
      <c r="AL531" s="5">
        <f t="shared" si="179"/>
        <v>10.710976112026358</v>
      </c>
      <c r="AM531" s="5">
        <f t="shared" si="180"/>
        <v>0</v>
      </c>
      <c r="AN531" s="5">
        <f t="shared" si="181"/>
        <v>10.710976112026358</v>
      </c>
      <c r="AO531" s="1" t="s">
        <v>102</v>
      </c>
    </row>
    <row r="532" spans="1:41" x14ac:dyDescent="0.25">
      <c r="A532" s="1" t="s">
        <v>19</v>
      </c>
      <c r="B532" s="1" t="s">
        <v>37</v>
      </c>
      <c r="C532" s="1" t="s">
        <v>21</v>
      </c>
      <c r="D532" s="1" t="s">
        <v>38</v>
      </c>
      <c r="E532" s="1" t="s">
        <v>96</v>
      </c>
      <c r="F532" s="1" t="s">
        <v>103</v>
      </c>
      <c r="G532" s="1" t="s">
        <v>114</v>
      </c>
      <c r="H532" s="1" t="s">
        <v>569</v>
      </c>
      <c r="I532" s="1" t="s">
        <v>331</v>
      </c>
      <c r="J532" s="1" t="s">
        <v>101</v>
      </c>
      <c r="K532" s="1" t="s">
        <v>175</v>
      </c>
      <c r="L532" s="1">
        <v>2760768</v>
      </c>
      <c r="M532" s="1" t="s">
        <v>741</v>
      </c>
      <c r="N532" s="8">
        <f t="shared" si="182"/>
        <v>44312</v>
      </c>
      <c r="O532" s="8">
        <f>DATE(2022,12,23)</f>
        <v>44918</v>
      </c>
      <c r="P532" s="1">
        <v>1360</v>
      </c>
      <c r="Q532" s="1">
        <v>1200</v>
      </c>
      <c r="R532" s="1">
        <f t="shared" si="164"/>
        <v>1200</v>
      </c>
      <c r="S532" s="1">
        <v>2.5</v>
      </c>
      <c r="U532" s="1">
        <f t="shared" si="165"/>
        <v>607</v>
      </c>
      <c r="V532" s="7">
        <f t="shared" si="166"/>
        <v>1.9769357495881383</v>
      </c>
      <c r="W532" s="7">
        <f t="shared" si="167"/>
        <v>721.58154859967044</v>
      </c>
      <c r="X532" s="7">
        <f t="shared" si="168"/>
        <v>0.90197693574958804</v>
      </c>
      <c r="AA532" s="8">
        <f t="shared" si="169"/>
        <v>44927</v>
      </c>
      <c r="AB532" s="8">
        <f t="shared" si="170"/>
        <v>45291</v>
      </c>
      <c r="AC532" s="1">
        <v>26</v>
      </c>
      <c r="AD532" s="1">
        <f t="shared" si="171"/>
        <v>0</v>
      </c>
      <c r="AE532" s="1">
        <f t="shared" si="172"/>
        <v>0</v>
      </c>
      <c r="AF532" s="1">
        <f t="shared" si="173"/>
        <v>0</v>
      </c>
      <c r="AG532" s="1">
        <f t="shared" si="174"/>
        <v>0</v>
      </c>
      <c r="AH532" s="1">
        <f t="shared" si="175"/>
        <v>182.5</v>
      </c>
      <c r="AI532" s="5">
        <f t="shared" si="176"/>
        <v>0.5</v>
      </c>
      <c r="AJ532" s="5">
        <f t="shared" si="177"/>
        <v>0.45098846787479402</v>
      </c>
      <c r="AK532" s="5">
        <f t="shared" si="178"/>
        <v>5.8628500823723222</v>
      </c>
      <c r="AL532" s="5">
        <f t="shared" si="179"/>
        <v>14.657125205930805</v>
      </c>
      <c r="AM532" s="5">
        <f t="shared" si="180"/>
        <v>0</v>
      </c>
      <c r="AN532" s="5">
        <f t="shared" si="181"/>
        <v>14.657125205930805</v>
      </c>
      <c r="AO532" s="1" t="s">
        <v>102</v>
      </c>
    </row>
    <row r="533" spans="1:41" x14ac:dyDescent="0.25">
      <c r="A533" s="1" t="s">
        <v>19</v>
      </c>
      <c r="B533" s="1" t="s">
        <v>37</v>
      </c>
      <c r="C533" s="1" t="s">
        <v>21</v>
      </c>
      <c r="D533" s="1" t="s">
        <v>38</v>
      </c>
      <c r="E533" s="1" t="s">
        <v>96</v>
      </c>
      <c r="F533" s="1" t="s">
        <v>103</v>
      </c>
      <c r="G533" s="1" t="s">
        <v>114</v>
      </c>
      <c r="H533" s="1" t="s">
        <v>592</v>
      </c>
      <c r="I533" s="1" t="s">
        <v>210</v>
      </c>
      <c r="J533" s="1" t="s">
        <v>101</v>
      </c>
      <c r="K533" s="1" t="s">
        <v>175</v>
      </c>
      <c r="L533" s="1">
        <v>2760769</v>
      </c>
      <c r="M533" s="1" t="s">
        <v>742</v>
      </c>
      <c r="N533" s="8">
        <f t="shared" si="182"/>
        <v>44312</v>
      </c>
      <c r="O533" s="8">
        <f>DATE(2022,12,23)</f>
        <v>44918</v>
      </c>
      <c r="P533" s="1">
        <v>1707</v>
      </c>
      <c r="Q533" s="1">
        <v>1200</v>
      </c>
      <c r="R533" s="1">
        <f t="shared" si="164"/>
        <v>1200</v>
      </c>
      <c r="S533" s="1">
        <v>2.5</v>
      </c>
      <c r="U533" s="1">
        <f t="shared" si="165"/>
        <v>607</v>
      </c>
      <c r="V533" s="7">
        <f t="shared" si="166"/>
        <v>1.9769357495881383</v>
      </c>
      <c r="W533" s="7">
        <f t="shared" si="167"/>
        <v>721.58154859967044</v>
      </c>
      <c r="X533" s="7">
        <f t="shared" si="168"/>
        <v>0.90197693574958804</v>
      </c>
      <c r="AA533" s="8">
        <f t="shared" si="169"/>
        <v>44927</v>
      </c>
      <c r="AB533" s="8">
        <f t="shared" si="170"/>
        <v>45291</v>
      </c>
      <c r="AC533" s="1">
        <v>5</v>
      </c>
      <c r="AD533" s="1">
        <f t="shared" si="171"/>
        <v>0</v>
      </c>
      <c r="AE533" s="1">
        <f t="shared" si="172"/>
        <v>0</v>
      </c>
      <c r="AF533" s="1">
        <f t="shared" si="173"/>
        <v>0</v>
      </c>
      <c r="AG533" s="1">
        <f t="shared" si="174"/>
        <v>0</v>
      </c>
      <c r="AH533" s="1">
        <f t="shared" si="175"/>
        <v>182.5</v>
      </c>
      <c r="AI533" s="5">
        <f t="shared" si="176"/>
        <v>0.5</v>
      </c>
      <c r="AJ533" s="5">
        <f t="shared" si="177"/>
        <v>0.45098846787479402</v>
      </c>
      <c r="AK533" s="5">
        <f t="shared" si="178"/>
        <v>1.127471169686985</v>
      </c>
      <c r="AL533" s="5">
        <f t="shared" si="179"/>
        <v>2.8186779242174627</v>
      </c>
      <c r="AM533" s="5">
        <f t="shared" si="180"/>
        <v>0</v>
      </c>
      <c r="AN533" s="5">
        <f t="shared" si="181"/>
        <v>2.8186779242174627</v>
      </c>
      <c r="AO533" s="1" t="s">
        <v>102</v>
      </c>
    </row>
    <row r="534" spans="1:41" x14ac:dyDescent="0.25">
      <c r="A534" s="1" t="s">
        <v>19</v>
      </c>
      <c r="B534" s="1" t="s">
        <v>37</v>
      </c>
      <c r="C534" s="1" t="s">
        <v>21</v>
      </c>
      <c r="D534" s="1" t="s">
        <v>38</v>
      </c>
      <c r="E534" s="1" t="s">
        <v>96</v>
      </c>
      <c r="F534" s="1" t="s">
        <v>103</v>
      </c>
      <c r="G534" s="1" t="s">
        <v>114</v>
      </c>
      <c r="H534" s="1" t="s">
        <v>590</v>
      </c>
      <c r="I534" s="1" t="s">
        <v>210</v>
      </c>
      <c r="J534" s="1" t="s">
        <v>101</v>
      </c>
      <c r="K534" s="1" t="s">
        <v>175</v>
      </c>
      <c r="L534" s="1">
        <v>2760770</v>
      </c>
      <c r="M534" s="1" t="s">
        <v>743</v>
      </c>
      <c r="N534" s="8">
        <f t="shared" si="182"/>
        <v>44312</v>
      </c>
      <c r="O534" s="8">
        <f>DATE(2022,12,23)</f>
        <v>44918</v>
      </c>
      <c r="P534" s="1">
        <v>1703</v>
      </c>
      <c r="Q534" s="1">
        <v>1200</v>
      </c>
      <c r="R534" s="1">
        <f t="shared" si="164"/>
        <v>1200</v>
      </c>
      <c r="S534" s="1">
        <v>2.5</v>
      </c>
      <c r="U534" s="1">
        <f t="shared" si="165"/>
        <v>607</v>
      </c>
      <c r="V534" s="7">
        <f t="shared" si="166"/>
        <v>1.9769357495881383</v>
      </c>
      <c r="W534" s="7">
        <f t="shared" si="167"/>
        <v>721.58154859967044</v>
      </c>
      <c r="X534" s="7">
        <f t="shared" si="168"/>
        <v>0.90197693574958804</v>
      </c>
      <c r="AA534" s="8">
        <f t="shared" si="169"/>
        <v>44927</v>
      </c>
      <c r="AB534" s="8">
        <f t="shared" si="170"/>
        <v>45291</v>
      </c>
      <c r="AC534" s="1">
        <v>5</v>
      </c>
      <c r="AD534" s="1">
        <f t="shared" si="171"/>
        <v>0</v>
      </c>
      <c r="AE534" s="1">
        <f t="shared" si="172"/>
        <v>0</v>
      </c>
      <c r="AF534" s="1">
        <f t="shared" si="173"/>
        <v>0</v>
      </c>
      <c r="AG534" s="1">
        <f t="shared" si="174"/>
        <v>0</v>
      </c>
      <c r="AH534" s="1">
        <f t="shared" si="175"/>
        <v>182.5</v>
      </c>
      <c r="AI534" s="5">
        <f t="shared" si="176"/>
        <v>0.5</v>
      </c>
      <c r="AJ534" s="5">
        <f t="shared" si="177"/>
        <v>0.45098846787479402</v>
      </c>
      <c r="AK534" s="5">
        <f t="shared" si="178"/>
        <v>1.127471169686985</v>
      </c>
      <c r="AL534" s="5">
        <f t="shared" si="179"/>
        <v>2.8186779242174627</v>
      </c>
      <c r="AM534" s="5">
        <f t="shared" si="180"/>
        <v>0</v>
      </c>
      <c r="AN534" s="5">
        <f t="shared" si="181"/>
        <v>2.8186779242174627</v>
      </c>
      <c r="AO534" s="1" t="s">
        <v>102</v>
      </c>
    </row>
    <row r="535" spans="1:41" x14ac:dyDescent="0.25">
      <c r="A535" s="1" t="s">
        <v>19</v>
      </c>
      <c r="B535" s="1" t="s">
        <v>37</v>
      </c>
      <c r="C535" s="1" t="s">
        <v>21</v>
      </c>
      <c r="D535" s="1" t="s">
        <v>38</v>
      </c>
      <c r="E535" s="1" t="s">
        <v>96</v>
      </c>
      <c r="F535" s="1" t="s">
        <v>103</v>
      </c>
      <c r="G535" s="1" t="s">
        <v>98</v>
      </c>
      <c r="H535" s="1" t="s">
        <v>537</v>
      </c>
      <c r="I535" s="1" t="s">
        <v>162</v>
      </c>
      <c r="J535" s="1" t="s">
        <v>101</v>
      </c>
      <c r="L535" s="1">
        <v>2760789</v>
      </c>
      <c r="M535" s="1" t="s">
        <v>744</v>
      </c>
      <c r="N535" s="8">
        <f t="shared" si="182"/>
        <v>44312</v>
      </c>
      <c r="O535" s="8">
        <f>DATE(2025,12,23)</f>
        <v>46014</v>
      </c>
      <c r="P535" s="1">
        <v>4460</v>
      </c>
      <c r="Q535" s="1">
        <v>3200</v>
      </c>
      <c r="R535" s="1">
        <f t="shared" si="164"/>
        <v>3200</v>
      </c>
      <c r="S535" s="1">
        <v>2.5</v>
      </c>
      <c r="U535" s="1">
        <f t="shared" si="165"/>
        <v>1703</v>
      </c>
      <c r="V535" s="7">
        <f t="shared" si="166"/>
        <v>1.8790369935408104</v>
      </c>
      <c r="W535" s="7">
        <f t="shared" si="167"/>
        <v>685.84850264239583</v>
      </c>
      <c r="X535" s="7">
        <f t="shared" si="168"/>
        <v>0.85731062830299476</v>
      </c>
      <c r="AA535" s="8">
        <f t="shared" si="169"/>
        <v>44927</v>
      </c>
      <c r="AB535" s="8">
        <f t="shared" si="170"/>
        <v>45291</v>
      </c>
      <c r="AC535" s="1">
        <v>23</v>
      </c>
      <c r="AD535" s="1">
        <f t="shared" si="171"/>
        <v>365</v>
      </c>
      <c r="AE535" s="1">
        <f t="shared" si="172"/>
        <v>0</v>
      </c>
      <c r="AF535" s="1">
        <f t="shared" si="173"/>
        <v>0</v>
      </c>
      <c r="AG535" s="1">
        <f t="shared" si="174"/>
        <v>0</v>
      </c>
      <c r="AH535" s="1">
        <f t="shared" si="175"/>
        <v>0</v>
      </c>
      <c r="AI535" s="5">
        <f t="shared" si="176"/>
        <v>1</v>
      </c>
      <c r="AJ535" s="5">
        <f t="shared" si="177"/>
        <v>0.85731062830299476</v>
      </c>
      <c r="AK535" s="5">
        <f t="shared" si="178"/>
        <v>19.718144450968879</v>
      </c>
      <c r="AL535" s="5">
        <f t="shared" si="179"/>
        <v>49.295361127422197</v>
      </c>
      <c r="AM535" s="5">
        <f t="shared" si="180"/>
        <v>0</v>
      </c>
      <c r="AN535" s="5">
        <f t="shared" si="181"/>
        <v>49.295361127422197</v>
      </c>
      <c r="AO535" s="1" t="s">
        <v>102</v>
      </c>
    </row>
    <row r="536" spans="1:41" x14ac:dyDescent="0.25">
      <c r="A536" s="1" t="s">
        <v>19</v>
      </c>
      <c r="B536" s="1" t="s">
        <v>37</v>
      </c>
      <c r="C536" s="1" t="s">
        <v>21</v>
      </c>
      <c r="D536" s="1" t="s">
        <v>38</v>
      </c>
      <c r="E536" s="1" t="s">
        <v>96</v>
      </c>
      <c r="F536" s="1" t="s">
        <v>103</v>
      </c>
      <c r="G536" s="1" t="s">
        <v>98</v>
      </c>
      <c r="H536" s="1" t="s">
        <v>542</v>
      </c>
      <c r="I536" s="1" t="s">
        <v>210</v>
      </c>
      <c r="J536" s="1" t="s">
        <v>101</v>
      </c>
      <c r="L536" s="1">
        <v>2760790</v>
      </c>
      <c r="M536" s="1" t="s">
        <v>745</v>
      </c>
      <c r="N536" s="8">
        <f t="shared" si="182"/>
        <v>44312</v>
      </c>
      <c r="O536" s="8">
        <f>DATE(2025,12,23)</f>
        <v>46014</v>
      </c>
      <c r="P536" s="1">
        <v>4610</v>
      </c>
      <c r="Q536" s="1">
        <v>3600</v>
      </c>
      <c r="R536" s="1">
        <f t="shared" si="164"/>
        <v>3600</v>
      </c>
      <c r="S536" s="1">
        <v>2.5</v>
      </c>
      <c r="U536" s="1">
        <f t="shared" si="165"/>
        <v>1703</v>
      </c>
      <c r="V536" s="7">
        <f t="shared" si="166"/>
        <v>2.1139166177334117</v>
      </c>
      <c r="W536" s="7">
        <f t="shared" si="167"/>
        <v>771.57956547269521</v>
      </c>
      <c r="X536" s="7">
        <f t="shared" si="168"/>
        <v>0.96447445684086897</v>
      </c>
      <c r="AA536" s="8">
        <f t="shared" si="169"/>
        <v>44927</v>
      </c>
      <c r="AB536" s="8">
        <f t="shared" si="170"/>
        <v>45291</v>
      </c>
      <c r="AC536" s="1">
        <v>21</v>
      </c>
      <c r="AD536" s="1">
        <f t="shared" si="171"/>
        <v>365</v>
      </c>
      <c r="AE536" s="1">
        <f t="shared" si="172"/>
        <v>0</v>
      </c>
      <c r="AF536" s="1">
        <f t="shared" si="173"/>
        <v>0</v>
      </c>
      <c r="AG536" s="1">
        <f t="shared" si="174"/>
        <v>0</v>
      </c>
      <c r="AH536" s="1">
        <f t="shared" si="175"/>
        <v>0</v>
      </c>
      <c r="AI536" s="5">
        <f t="shared" si="176"/>
        <v>1</v>
      </c>
      <c r="AJ536" s="5">
        <f t="shared" si="177"/>
        <v>0.96447445684086897</v>
      </c>
      <c r="AK536" s="5">
        <f t="shared" si="178"/>
        <v>20.253963593658248</v>
      </c>
      <c r="AL536" s="5">
        <f t="shared" si="179"/>
        <v>50.634908984145625</v>
      </c>
      <c r="AM536" s="5">
        <f t="shared" si="180"/>
        <v>0</v>
      </c>
      <c r="AN536" s="5">
        <f t="shared" si="181"/>
        <v>50.634908984145625</v>
      </c>
      <c r="AO536" s="1" t="s">
        <v>102</v>
      </c>
    </row>
    <row r="537" spans="1:41" x14ac:dyDescent="0.25">
      <c r="A537" s="1" t="s">
        <v>19</v>
      </c>
      <c r="B537" s="1" t="s">
        <v>37</v>
      </c>
      <c r="C537" s="1" t="s">
        <v>21</v>
      </c>
      <c r="D537" s="1" t="s">
        <v>38</v>
      </c>
      <c r="E537" s="1" t="s">
        <v>96</v>
      </c>
      <c r="F537" s="1" t="s">
        <v>103</v>
      </c>
      <c r="G537" s="1" t="s">
        <v>98</v>
      </c>
      <c r="H537" s="1" t="s">
        <v>725</v>
      </c>
      <c r="I537" s="1" t="s">
        <v>210</v>
      </c>
      <c r="J537" s="1" t="s">
        <v>101</v>
      </c>
      <c r="L537" s="1">
        <v>2760791</v>
      </c>
      <c r="M537" s="1" t="s">
        <v>746</v>
      </c>
      <c r="N537" s="8">
        <f t="shared" si="182"/>
        <v>44312</v>
      </c>
      <c r="O537" s="8">
        <f>DATE(2025,12,23)</f>
        <v>46014</v>
      </c>
      <c r="P537" s="1">
        <v>3662</v>
      </c>
      <c r="Q537" s="1">
        <v>3600</v>
      </c>
      <c r="R537" s="1">
        <f t="shared" si="164"/>
        <v>3600</v>
      </c>
      <c r="S537" s="1">
        <v>2.5</v>
      </c>
      <c r="U537" s="1">
        <f t="shared" si="165"/>
        <v>1703</v>
      </c>
      <c r="V537" s="7">
        <f t="shared" si="166"/>
        <v>2.1139166177334117</v>
      </c>
      <c r="W537" s="7">
        <f t="shared" si="167"/>
        <v>771.57956547269521</v>
      </c>
      <c r="X537" s="7">
        <f t="shared" si="168"/>
        <v>0.96447445684086897</v>
      </c>
      <c r="AA537" s="8">
        <f t="shared" si="169"/>
        <v>44927</v>
      </c>
      <c r="AB537" s="8">
        <f t="shared" si="170"/>
        <v>45291</v>
      </c>
      <c r="AC537" s="1">
        <v>52</v>
      </c>
      <c r="AD537" s="1">
        <f t="shared" si="171"/>
        <v>365</v>
      </c>
      <c r="AE537" s="1">
        <f t="shared" si="172"/>
        <v>0</v>
      </c>
      <c r="AF537" s="1">
        <f t="shared" si="173"/>
        <v>0</v>
      </c>
      <c r="AG537" s="1">
        <f t="shared" si="174"/>
        <v>0</v>
      </c>
      <c r="AH537" s="1">
        <f t="shared" si="175"/>
        <v>0</v>
      </c>
      <c r="AI537" s="5">
        <f t="shared" si="176"/>
        <v>1</v>
      </c>
      <c r="AJ537" s="5">
        <f t="shared" si="177"/>
        <v>0.96447445684086897</v>
      </c>
      <c r="AK537" s="5">
        <f t="shared" si="178"/>
        <v>50.152671755725187</v>
      </c>
      <c r="AL537" s="5">
        <f t="shared" si="179"/>
        <v>125.38167938931296</v>
      </c>
      <c r="AM537" s="5">
        <f t="shared" si="180"/>
        <v>0</v>
      </c>
      <c r="AN537" s="5">
        <f t="shared" si="181"/>
        <v>125.38167938931296</v>
      </c>
      <c r="AO537" s="1" t="s">
        <v>102</v>
      </c>
    </row>
    <row r="538" spans="1:41" x14ac:dyDescent="0.25">
      <c r="A538" s="1" t="s">
        <v>19</v>
      </c>
      <c r="B538" s="1" t="s">
        <v>37</v>
      </c>
      <c r="C538" s="1" t="s">
        <v>21</v>
      </c>
      <c r="D538" s="1" t="s">
        <v>38</v>
      </c>
      <c r="E538" s="1" t="s">
        <v>96</v>
      </c>
      <c r="F538" s="1" t="s">
        <v>103</v>
      </c>
      <c r="G538" s="1" t="s">
        <v>98</v>
      </c>
      <c r="H538" s="1" t="s">
        <v>523</v>
      </c>
      <c r="I538" s="1" t="s">
        <v>100</v>
      </c>
      <c r="J538" s="1" t="s">
        <v>101</v>
      </c>
      <c r="L538" s="1">
        <v>2760792</v>
      </c>
      <c r="M538" s="1" t="s">
        <v>747</v>
      </c>
      <c r="N538" s="8">
        <f t="shared" si="182"/>
        <v>44312</v>
      </c>
      <c r="O538" s="8">
        <f>DATE(2023,12,23)</f>
        <v>45283</v>
      </c>
      <c r="P538" s="1">
        <v>2587</v>
      </c>
      <c r="Q538" s="1">
        <v>2400</v>
      </c>
      <c r="R538" s="1">
        <f t="shared" si="164"/>
        <v>2400</v>
      </c>
      <c r="S538" s="1">
        <v>1</v>
      </c>
      <c r="U538" s="1">
        <f t="shared" si="165"/>
        <v>972</v>
      </c>
      <c r="V538" s="7">
        <f t="shared" si="166"/>
        <v>2.4691358024691357</v>
      </c>
      <c r="W538" s="7">
        <f t="shared" si="167"/>
        <v>901.23456790123453</v>
      </c>
      <c r="X538" s="7">
        <f t="shared" si="168"/>
        <v>1.1265432098765431</v>
      </c>
      <c r="AA538" s="8">
        <f t="shared" si="169"/>
        <v>44927</v>
      </c>
      <c r="AB538" s="8">
        <f t="shared" si="170"/>
        <v>45291</v>
      </c>
      <c r="AC538" s="1">
        <v>34</v>
      </c>
      <c r="AD538" s="1">
        <f t="shared" si="171"/>
        <v>0</v>
      </c>
      <c r="AE538" s="1">
        <f t="shared" si="172"/>
        <v>0</v>
      </c>
      <c r="AF538" s="1">
        <f t="shared" si="173"/>
        <v>357</v>
      </c>
      <c r="AG538" s="1">
        <f t="shared" si="174"/>
        <v>0</v>
      </c>
      <c r="AH538" s="1">
        <f t="shared" si="175"/>
        <v>0</v>
      </c>
      <c r="AI538" s="5">
        <f t="shared" si="176"/>
        <v>0.9780821917808219</v>
      </c>
      <c r="AJ538" s="5">
        <f t="shared" si="177"/>
        <v>1.1018518518518516</v>
      </c>
      <c r="AK538" s="5">
        <f t="shared" si="178"/>
        <v>37.462962962962955</v>
      </c>
      <c r="AL538" s="5">
        <f t="shared" si="179"/>
        <v>37.462962962962955</v>
      </c>
      <c r="AM538" s="5">
        <f t="shared" si="180"/>
        <v>0</v>
      </c>
      <c r="AN538" s="5">
        <f t="shared" si="181"/>
        <v>37.462962962962955</v>
      </c>
      <c r="AO538" s="1" t="s">
        <v>102</v>
      </c>
    </row>
    <row r="539" spans="1:41" x14ac:dyDescent="0.25">
      <c r="A539" s="1" t="s">
        <v>19</v>
      </c>
      <c r="B539" s="1" t="s">
        <v>37</v>
      </c>
      <c r="C539" s="1" t="s">
        <v>21</v>
      </c>
      <c r="D539" s="1" t="s">
        <v>38</v>
      </c>
      <c r="E539" s="1" t="s">
        <v>96</v>
      </c>
      <c r="F539" s="1" t="s">
        <v>103</v>
      </c>
      <c r="G539" s="1" t="s">
        <v>98</v>
      </c>
      <c r="H539" s="1" t="s">
        <v>566</v>
      </c>
      <c r="I539" s="1" t="s">
        <v>336</v>
      </c>
      <c r="J539" s="1" t="s">
        <v>101</v>
      </c>
      <c r="L539" s="1">
        <v>2760793</v>
      </c>
      <c r="M539" s="1" t="s">
        <v>748</v>
      </c>
      <c r="N539" s="8">
        <f t="shared" si="182"/>
        <v>44312</v>
      </c>
      <c r="O539" s="8">
        <f>DATE(2023,12,23)</f>
        <v>45283</v>
      </c>
      <c r="P539" s="1">
        <v>2600</v>
      </c>
      <c r="Q539" s="1">
        <v>2400</v>
      </c>
      <c r="R539" s="1">
        <f t="shared" si="164"/>
        <v>2400</v>
      </c>
      <c r="S539" s="1">
        <v>1</v>
      </c>
      <c r="U539" s="1">
        <f t="shared" si="165"/>
        <v>972</v>
      </c>
      <c r="V539" s="7">
        <f t="shared" si="166"/>
        <v>2.4691358024691357</v>
      </c>
      <c r="W539" s="7">
        <f t="shared" si="167"/>
        <v>901.23456790123453</v>
      </c>
      <c r="X539" s="7">
        <f t="shared" si="168"/>
        <v>1.1265432098765431</v>
      </c>
      <c r="AA539" s="8">
        <f t="shared" si="169"/>
        <v>44927</v>
      </c>
      <c r="AB539" s="8">
        <f t="shared" si="170"/>
        <v>45291</v>
      </c>
      <c r="AC539" s="1">
        <v>30</v>
      </c>
      <c r="AD539" s="1">
        <f t="shared" si="171"/>
        <v>0</v>
      </c>
      <c r="AE539" s="1">
        <f t="shared" si="172"/>
        <v>0</v>
      </c>
      <c r="AF539" s="1">
        <f t="shared" si="173"/>
        <v>357</v>
      </c>
      <c r="AG539" s="1">
        <f t="shared" si="174"/>
        <v>0</v>
      </c>
      <c r="AH539" s="1">
        <f t="shared" si="175"/>
        <v>0</v>
      </c>
      <c r="AI539" s="5">
        <f t="shared" si="176"/>
        <v>0.9780821917808219</v>
      </c>
      <c r="AJ539" s="5">
        <f t="shared" si="177"/>
        <v>1.1018518518518516</v>
      </c>
      <c r="AK539" s="5">
        <f t="shared" si="178"/>
        <v>33.05555555555555</v>
      </c>
      <c r="AL539" s="5">
        <f t="shared" si="179"/>
        <v>33.05555555555555</v>
      </c>
      <c r="AM539" s="5">
        <f t="shared" si="180"/>
        <v>0</v>
      </c>
      <c r="AN539" s="5">
        <f t="shared" si="181"/>
        <v>33.05555555555555</v>
      </c>
      <c r="AO539" s="1" t="s">
        <v>102</v>
      </c>
    </row>
    <row r="540" spans="1:41" x14ac:dyDescent="0.25">
      <c r="A540" s="1" t="s">
        <v>19</v>
      </c>
      <c r="B540" s="1" t="s">
        <v>37</v>
      </c>
      <c r="C540" s="1" t="s">
        <v>21</v>
      </c>
      <c r="D540" s="1" t="s">
        <v>38</v>
      </c>
      <c r="E540" s="1" t="s">
        <v>96</v>
      </c>
      <c r="F540" s="1" t="s">
        <v>103</v>
      </c>
      <c r="G540" s="1" t="s">
        <v>320</v>
      </c>
      <c r="H540" s="1" t="s">
        <v>685</v>
      </c>
      <c r="I540" s="1" t="s">
        <v>174</v>
      </c>
      <c r="J540" s="1" t="s">
        <v>101</v>
      </c>
      <c r="L540" s="1">
        <v>2760794</v>
      </c>
      <c r="M540" s="1" t="s">
        <v>749</v>
      </c>
      <c r="N540" s="8">
        <f t="shared" si="182"/>
        <v>44312</v>
      </c>
      <c r="O540" s="8">
        <f>DATE(2024,12,23)</f>
        <v>45649</v>
      </c>
      <c r="P540" s="1">
        <v>3396</v>
      </c>
      <c r="Q540" s="1">
        <v>3200</v>
      </c>
      <c r="R540" s="1">
        <f t="shared" si="164"/>
        <v>3200</v>
      </c>
      <c r="S540" s="1">
        <v>2.5</v>
      </c>
      <c r="U540" s="1">
        <f t="shared" si="165"/>
        <v>1338</v>
      </c>
      <c r="V540" s="7">
        <f t="shared" si="166"/>
        <v>2.391629297458894</v>
      </c>
      <c r="W540" s="7">
        <f t="shared" si="167"/>
        <v>872.94469357249625</v>
      </c>
      <c r="X540" s="7">
        <f t="shared" si="168"/>
        <v>1.0911808669656202</v>
      </c>
      <c r="AA540" s="8">
        <f t="shared" si="169"/>
        <v>44927</v>
      </c>
      <c r="AB540" s="8">
        <f t="shared" si="170"/>
        <v>45291</v>
      </c>
      <c r="AC540" s="1">
        <v>34</v>
      </c>
      <c r="AD540" s="1">
        <f t="shared" si="171"/>
        <v>365</v>
      </c>
      <c r="AE540" s="1">
        <f t="shared" si="172"/>
        <v>0</v>
      </c>
      <c r="AF540" s="1">
        <f t="shared" si="173"/>
        <v>0</v>
      </c>
      <c r="AG540" s="1">
        <f t="shared" si="174"/>
        <v>0</v>
      </c>
      <c r="AH540" s="1">
        <f t="shared" si="175"/>
        <v>0</v>
      </c>
      <c r="AI540" s="5">
        <f t="shared" si="176"/>
        <v>1</v>
      </c>
      <c r="AJ540" s="5">
        <f t="shared" si="177"/>
        <v>1.0911808669656202</v>
      </c>
      <c r="AK540" s="5">
        <f t="shared" si="178"/>
        <v>37.100149476831085</v>
      </c>
      <c r="AL540" s="5">
        <f t="shared" si="179"/>
        <v>92.750373692077716</v>
      </c>
      <c r="AM540" s="5">
        <f t="shared" si="180"/>
        <v>0</v>
      </c>
      <c r="AN540" s="5">
        <f t="shared" si="181"/>
        <v>92.750373692077716</v>
      </c>
      <c r="AO540" s="1" t="s">
        <v>102</v>
      </c>
    </row>
    <row r="541" spans="1:41" x14ac:dyDescent="0.25">
      <c r="A541" s="1" t="s">
        <v>19</v>
      </c>
      <c r="B541" s="1" t="s">
        <v>37</v>
      </c>
      <c r="C541" s="1" t="s">
        <v>21</v>
      </c>
      <c r="D541" s="1" t="s">
        <v>38</v>
      </c>
      <c r="E541" s="1" t="s">
        <v>96</v>
      </c>
      <c r="F541" s="1" t="s">
        <v>103</v>
      </c>
      <c r="G541" s="1" t="s">
        <v>127</v>
      </c>
      <c r="H541" s="1" t="s">
        <v>525</v>
      </c>
      <c r="I541" s="1" t="s">
        <v>331</v>
      </c>
      <c r="J541" s="1" t="s">
        <v>101</v>
      </c>
      <c r="L541" s="1">
        <v>2760795</v>
      </c>
      <c r="M541" s="1" t="s">
        <v>750</v>
      </c>
      <c r="N541" s="8">
        <f t="shared" si="182"/>
        <v>44312</v>
      </c>
      <c r="O541" s="8">
        <f>DATE(2024,6,15)</f>
        <v>45458</v>
      </c>
      <c r="P541" s="1">
        <v>2648</v>
      </c>
      <c r="Q541" s="1">
        <v>2400</v>
      </c>
      <c r="R541" s="1">
        <f t="shared" si="164"/>
        <v>2400</v>
      </c>
      <c r="S541" s="1">
        <v>2.5</v>
      </c>
      <c r="U541" s="1">
        <f t="shared" si="165"/>
        <v>1147</v>
      </c>
      <c r="V541" s="7">
        <f t="shared" si="166"/>
        <v>2.092414995640802</v>
      </c>
      <c r="W541" s="7">
        <f t="shared" si="167"/>
        <v>763.73147340889273</v>
      </c>
      <c r="X541" s="7">
        <f t="shared" si="168"/>
        <v>0.95466434176111592</v>
      </c>
      <c r="AA541" s="8">
        <f t="shared" si="169"/>
        <v>44927</v>
      </c>
      <c r="AB541" s="8">
        <f t="shared" si="170"/>
        <v>45291</v>
      </c>
      <c r="AC541" s="1">
        <v>24</v>
      </c>
      <c r="AD541" s="1">
        <f t="shared" si="171"/>
        <v>365</v>
      </c>
      <c r="AE541" s="1">
        <f t="shared" si="172"/>
        <v>0</v>
      </c>
      <c r="AF541" s="1">
        <f t="shared" si="173"/>
        <v>0</v>
      </c>
      <c r="AG541" s="1">
        <f t="shared" si="174"/>
        <v>0</v>
      </c>
      <c r="AH541" s="1">
        <f t="shared" si="175"/>
        <v>0</v>
      </c>
      <c r="AI541" s="5">
        <f t="shared" si="176"/>
        <v>1</v>
      </c>
      <c r="AJ541" s="5">
        <f t="shared" si="177"/>
        <v>0.95466434176111592</v>
      </c>
      <c r="AK541" s="5">
        <f t="shared" si="178"/>
        <v>22.911944202266781</v>
      </c>
      <c r="AL541" s="5">
        <f t="shared" si="179"/>
        <v>57.279860505666953</v>
      </c>
      <c r="AM541" s="5">
        <f t="shared" si="180"/>
        <v>0</v>
      </c>
      <c r="AN541" s="5">
        <f t="shared" si="181"/>
        <v>57.279860505666953</v>
      </c>
      <c r="AO541" s="1" t="s">
        <v>102</v>
      </c>
    </row>
    <row r="542" spans="1:41" x14ac:dyDescent="0.25">
      <c r="A542" s="1" t="s">
        <v>19</v>
      </c>
      <c r="B542" s="1" t="s">
        <v>37</v>
      </c>
      <c r="C542" s="1" t="s">
        <v>21</v>
      </c>
      <c r="D542" s="1" t="s">
        <v>38</v>
      </c>
      <c r="E542" s="1" t="s">
        <v>96</v>
      </c>
      <c r="F542" s="1" t="s">
        <v>103</v>
      </c>
      <c r="G542" s="1" t="s">
        <v>127</v>
      </c>
      <c r="H542" s="1" t="s">
        <v>555</v>
      </c>
      <c r="I542" s="1" t="s">
        <v>331</v>
      </c>
      <c r="J542" s="1" t="s">
        <v>101</v>
      </c>
      <c r="L542" s="1">
        <v>2760796</v>
      </c>
      <c r="M542" s="1" t="s">
        <v>751</v>
      </c>
      <c r="N542" s="8">
        <f t="shared" si="182"/>
        <v>44312</v>
      </c>
      <c r="O542" s="8">
        <f>DATE(2023,12,23)</f>
        <v>45283</v>
      </c>
      <c r="P542" s="1">
        <v>2562</v>
      </c>
      <c r="Q542" s="1">
        <v>2400</v>
      </c>
      <c r="R542" s="1">
        <f t="shared" si="164"/>
        <v>2400</v>
      </c>
      <c r="S542" s="1">
        <v>2.5</v>
      </c>
      <c r="U542" s="1">
        <f t="shared" si="165"/>
        <v>972</v>
      </c>
      <c r="V542" s="7">
        <f t="shared" si="166"/>
        <v>2.4691358024691357</v>
      </c>
      <c r="W542" s="7">
        <f t="shared" si="167"/>
        <v>901.23456790123453</v>
      </c>
      <c r="X542" s="7">
        <f t="shared" si="168"/>
        <v>1.1265432098765431</v>
      </c>
      <c r="AA542" s="8">
        <f t="shared" si="169"/>
        <v>44927</v>
      </c>
      <c r="AB542" s="8">
        <f t="shared" si="170"/>
        <v>45291</v>
      </c>
      <c r="AC542" s="1">
        <v>22</v>
      </c>
      <c r="AD542" s="1">
        <f t="shared" si="171"/>
        <v>0</v>
      </c>
      <c r="AE542" s="1">
        <f t="shared" si="172"/>
        <v>0</v>
      </c>
      <c r="AF542" s="1">
        <f t="shared" si="173"/>
        <v>357</v>
      </c>
      <c r="AG542" s="1">
        <f t="shared" si="174"/>
        <v>0</v>
      </c>
      <c r="AH542" s="1">
        <f t="shared" si="175"/>
        <v>0</v>
      </c>
      <c r="AI542" s="5">
        <f t="shared" si="176"/>
        <v>0.9780821917808219</v>
      </c>
      <c r="AJ542" s="5">
        <f t="shared" si="177"/>
        <v>1.1018518518518516</v>
      </c>
      <c r="AK542" s="5">
        <f t="shared" si="178"/>
        <v>24.240740740740737</v>
      </c>
      <c r="AL542" s="5">
        <f t="shared" si="179"/>
        <v>60.601851851851841</v>
      </c>
      <c r="AM542" s="5">
        <f t="shared" si="180"/>
        <v>0</v>
      </c>
      <c r="AN542" s="5">
        <f t="shared" si="181"/>
        <v>60.601851851851841</v>
      </c>
      <c r="AO542" s="1" t="s">
        <v>102</v>
      </c>
    </row>
    <row r="543" spans="1:41" x14ac:dyDescent="0.25">
      <c r="A543" s="1" t="s">
        <v>19</v>
      </c>
      <c r="B543" s="1" t="s">
        <v>37</v>
      </c>
      <c r="C543" s="1" t="s">
        <v>21</v>
      </c>
      <c r="D543" s="1" t="s">
        <v>38</v>
      </c>
      <c r="E543" s="1" t="s">
        <v>96</v>
      </c>
      <c r="F543" s="1" t="s">
        <v>103</v>
      </c>
      <c r="G543" s="1" t="s">
        <v>127</v>
      </c>
      <c r="H543" s="1" t="s">
        <v>562</v>
      </c>
      <c r="I543" s="1" t="s">
        <v>331</v>
      </c>
      <c r="J543" s="1" t="s">
        <v>101</v>
      </c>
      <c r="L543" s="1">
        <v>2760797</v>
      </c>
      <c r="M543" s="1" t="s">
        <v>752</v>
      </c>
      <c r="N543" s="8">
        <f t="shared" si="182"/>
        <v>44312</v>
      </c>
      <c r="O543" s="8">
        <f>DATE(2023,12,23)</f>
        <v>45283</v>
      </c>
      <c r="P543" s="1">
        <v>2548</v>
      </c>
      <c r="Q543" s="1">
        <v>2400</v>
      </c>
      <c r="R543" s="1">
        <f t="shared" si="164"/>
        <v>2400</v>
      </c>
      <c r="S543" s="1">
        <v>2.5</v>
      </c>
      <c r="U543" s="1">
        <f t="shared" si="165"/>
        <v>972</v>
      </c>
      <c r="V543" s="7">
        <f t="shared" si="166"/>
        <v>2.4691358024691357</v>
      </c>
      <c r="W543" s="7">
        <f t="shared" si="167"/>
        <v>901.23456790123453</v>
      </c>
      <c r="X543" s="7">
        <f t="shared" si="168"/>
        <v>1.1265432098765431</v>
      </c>
      <c r="AA543" s="8">
        <f t="shared" si="169"/>
        <v>44927</v>
      </c>
      <c r="AB543" s="8">
        <f t="shared" si="170"/>
        <v>45291</v>
      </c>
      <c r="AC543" s="1">
        <v>24</v>
      </c>
      <c r="AD543" s="1">
        <f t="shared" si="171"/>
        <v>0</v>
      </c>
      <c r="AE543" s="1">
        <f t="shared" si="172"/>
        <v>0</v>
      </c>
      <c r="AF543" s="1">
        <f t="shared" si="173"/>
        <v>357</v>
      </c>
      <c r="AG543" s="1">
        <f t="shared" si="174"/>
        <v>0</v>
      </c>
      <c r="AH543" s="1">
        <f t="shared" si="175"/>
        <v>0</v>
      </c>
      <c r="AI543" s="5">
        <f t="shared" si="176"/>
        <v>0.9780821917808219</v>
      </c>
      <c r="AJ543" s="5">
        <f t="shared" si="177"/>
        <v>1.1018518518518516</v>
      </c>
      <c r="AK543" s="5">
        <f t="shared" si="178"/>
        <v>26.444444444444439</v>
      </c>
      <c r="AL543" s="5">
        <f t="shared" si="179"/>
        <v>66.1111111111111</v>
      </c>
      <c r="AM543" s="5">
        <f t="shared" si="180"/>
        <v>0</v>
      </c>
      <c r="AN543" s="5">
        <f t="shared" si="181"/>
        <v>66.1111111111111</v>
      </c>
      <c r="AO543" s="1" t="s">
        <v>102</v>
      </c>
    </row>
    <row r="544" spans="1:41" x14ac:dyDescent="0.25">
      <c r="A544" s="1" t="s">
        <v>19</v>
      </c>
      <c r="B544" s="1" t="s">
        <v>37</v>
      </c>
      <c r="C544" s="1" t="s">
        <v>21</v>
      </c>
      <c r="D544" s="1" t="s">
        <v>38</v>
      </c>
      <c r="E544" s="1" t="s">
        <v>96</v>
      </c>
      <c r="F544" s="1" t="s">
        <v>103</v>
      </c>
      <c r="G544" s="1" t="s">
        <v>127</v>
      </c>
      <c r="H544" s="1" t="s">
        <v>518</v>
      </c>
      <c r="I544" s="1" t="s">
        <v>162</v>
      </c>
      <c r="J544" s="1" t="s">
        <v>101</v>
      </c>
      <c r="L544" s="1">
        <v>2760798</v>
      </c>
      <c r="M544" s="1" t="s">
        <v>753</v>
      </c>
      <c r="N544" s="8">
        <f t="shared" si="182"/>
        <v>44312</v>
      </c>
      <c r="O544" s="8">
        <f>DATE(2023,12,23)</f>
        <v>45283</v>
      </c>
      <c r="P544" s="1">
        <v>2130</v>
      </c>
      <c r="Q544" s="1">
        <v>2000</v>
      </c>
      <c r="R544" s="1">
        <f t="shared" si="164"/>
        <v>2000</v>
      </c>
      <c r="S544" s="1">
        <v>1.5</v>
      </c>
      <c r="U544" s="1">
        <f t="shared" si="165"/>
        <v>972</v>
      </c>
      <c r="V544" s="7">
        <f t="shared" si="166"/>
        <v>2.0576131687242798</v>
      </c>
      <c r="W544" s="7">
        <f t="shared" si="167"/>
        <v>751.02880658436209</v>
      </c>
      <c r="X544" s="7">
        <f t="shared" si="168"/>
        <v>0.93878600823045266</v>
      </c>
      <c r="AA544" s="8">
        <f t="shared" si="169"/>
        <v>44927</v>
      </c>
      <c r="AB544" s="8">
        <f t="shared" si="170"/>
        <v>45291</v>
      </c>
      <c r="AC544" s="1">
        <v>24</v>
      </c>
      <c r="AD544" s="1">
        <f t="shared" si="171"/>
        <v>0</v>
      </c>
      <c r="AE544" s="1">
        <f t="shared" si="172"/>
        <v>0</v>
      </c>
      <c r="AF544" s="1">
        <f t="shared" si="173"/>
        <v>357</v>
      </c>
      <c r="AG544" s="1">
        <f t="shared" si="174"/>
        <v>0</v>
      </c>
      <c r="AH544" s="1">
        <f t="shared" si="175"/>
        <v>0</v>
      </c>
      <c r="AI544" s="5">
        <f t="shared" si="176"/>
        <v>0.9780821917808219</v>
      </c>
      <c r="AJ544" s="5">
        <f t="shared" si="177"/>
        <v>0.91820987654320985</v>
      </c>
      <c r="AK544" s="5">
        <f t="shared" si="178"/>
        <v>22.037037037037038</v>
      </c>
      <c r="AL544" s="5">
        <f t="shared" si="179"/>
        <v>33.055555555555557</v>
      </c>
      <c r="AM544" s="5">
        <f t="shared" si="180"/>
        <v>0</v>
      </c>
      <c r="AN544" s="5">
        <f t="shared" si="181"/>
        <v>33.055555555555557</v>
      </c>
      <c r="AO544" s="1" t="s">
        <v>102</v>
      </c>
    </row>
    <row r="545" spans="1:41" x14ac:dyDescent="0.25">
      <c r="A545" s="1" t="s">
        <v>19</v>
      </c>
      <c r="B545" s="1" t="s">
        <v>37</v>
      </c>
      <c r="C545" s="1" t="s">
        <v>21</v>
      </c>
      <c r="D545" s="1" t="s">
        <v>38</v>
      </c>
      <c r="E545" s="1" t="s">
        <v>96</v>
      </c>
      <c r="F545" s="1" t="s">
        <v>103</v>
      </c>
      <c r="G545" s="1" t="s">
        <v>127</v>
      </c>
      <c r="H545" s="1" t="s">
        <v>528</v>
      </c>
      <c r="I545" s="1" t="s">
        <v>162</v>
      </c>
      <c r="J545" s="1" t="s">
        <v>101</v>
      </c>
      <c r="L545" s="1">
        <v>2760799</v>
      </c>
      <c r="M545" s="1" t="s">
        <v>754</v>
      </c>
      <c r="N545" s="8">
        <f t="shared" si="182"/>
        <v>44312</v>
      </c>
      <c r="O545" s="8">
        <f>DATE(2023,12,23)</f>
        <v>45283</v>
      </c>
      <c r="P545" s="1">
        <v>2130</v>
      </c>
      <c r="Q545" s="1">
        <v>2000</v>
      </c>
      <c r="R545" s="1">
        <f t="shared" si="164"/>
        <v>2000</v>
      </c>
      <c r="S545" s="1">
        <v>1</v>
      </c>
      <c r="U545" s="1">
        <f t="shared" si="165"/>
        <v>972</v>
      </c>
      <c r="V545" s="7">
        <f t="shared" si="166"/>
        <v>2.0576131687242798</v>
      </c>
      <c r="W545" s="7">
        <f t="shared" si="167"/>
        <v>751.02880658436209</v>
      </c>
      <c r="X545" s="7">
        <f t="shared" si="168"/>
        <v>0.93878600823045266</v>
      </c>
      <c r="AA545" s="8">
        <f t="shared" si="169"/>
        <v>44927</v>
      </c>
      <c r="AB545" s="8">
        <f t="shared" si="170"/>
        <v>45291</v>
      </c>
      <c r="AC545" s="1">
        <v>29</v>
      </c>
      <c r="AD545" s="1">
        <f t="shared" si="171"/>
        <v>0</v>
      </c>
      <c r="AE545" s="1">
        <f t="shared" si="172"/>
        <v>0</v>
      </c>
      <c r="AF545" s="1">
        <f t="shared" si="173"/>
        <v>357</v>
      </c>
      <c r="AG545" s="1">
        <f t="shared" si="174"/>
        <v>0</v>
      </c>
      <c r="AH545" s="1">
        <f t="shared" si="175"/>
        <v>0</v>
      </c>
      <c r="AI545" s="5">
        <f t="shared" si="176"/>
        <v>0.9780821917808219</v>
      </c>
      <c r="AJ545" s="5">
        <f t="shared" si="177"/>
        <v>0.91820987654320985</v>
      </c>
      <c r="AK545" s="5">
        <f t="shared" si="178"/>
        <v>26.628086419753085</v>
      </c>
      <c r="AL545" s="5">
        <f t="shared" si="179"/>
        <v>26.628086419753085</v>
      </c>
      <c r="AM545" s="5">
        <f t="shared" si="180"/>
        <v>0</v>
      </c>
      <c r="AN545" s="5">
        <f t="shared" si="181"/>
        <v>26.628086419753085</v>
      </c>
      <c r="AO545" s="1" t="s">
        <v>102</v>
      </c>
    </row>
    <row r="546" spans="1:41" x14ac:dyDescent="0.25">
      <c r="A546" s="1" t="s">
        <v>19</v>
      </c>
      <c r="B546" s="1" t="s">
        <v>37</v>
      </c>
      <c r="C546" s="1" t="s">
        <v>21</v>
      </c>
      <c r="D546" s="1" t="s">
        <v>38</v>
      </c>
      <c r="E546" s="1" t="s">
        <v>96</v>
      </c>
      <c r="F546" s="1" t="s">
        <v>103</v>
      </c>
      <c r="G546" s="1" t="s">
        <v>634</v>
      </c>
      <c r="H546" s="1" t="s">
        <v>635</v>
      </c>
      <c r="I546" s="1" t="s">
        <v>174</v>
      </c>
      <c r="J546" s="1" t="s">
        <v>101</v>
      </c>
      <c r="L546" s="1">
        <v>2791459</v>
      </c>
      <c r="M546" s="1" t="s">
        <v>755</v>
      </c>
      <c r="N546" s="8">
        <f t="shared" si="182"/>
        <v>44312</v>
      </c>
      <c r="O546" s="8">
        <f>DATE(2023,4,28)</f>
        <v>45044</v>
      </c>
      <c r="P546" s="1">
        <v>960</v>
      </c>
      <c r="Q546" s="1">
        <v>360</v>
      </c>
      <c r="R546" s="1">
        <f t="shared" si="164"/>
        <v>360</v>
      </c>
      <c r="S546" s="1">
        <v>3.75</v>
      </c>
      <c r="U546" s="1">
        <f t="shared" si="165"/>
        <v>733</v>
      </c>
      <c r="V546" s="7">
        <f t="shared" si="166"/>
        <v>0.49113233287858116</v>
      </c>
      <c r="W546" s="7">
        <f t="shared" si="167"/>
        <v>179.26330150068213</v>
      </c>
      <c r="X546" s="7">
        <f t="shared" si="168"/>
        <v>0.22407912687585266</v>
      </c>
      <c r="AA546" s="8">
        <f t="shared" si="169"/>
        <v>44927</v>
      </c>
      <c r="AB546" s="8">
        <f t="shared" si="170"/>
        <v>45291</v>
      </c>
      <c r="AC546" s="1">
        <v>15</v>
      </c>
      <c r="AD546" s="1">
        <f t="shared" si="171"/>
        <v>0</v>
      </c>
      <c r="AE546" s="1">
        <f t="shared" si="172"/>
        <v>0</v>
      </c>
      <c r="AF546" s="1">
        <f t="shared" si="173"/>
        <v>118</v>
      </c>
      <c r="AG546" s="1">
        <f t="shared" si="174"/>
        <v>0</v>
      </c>
      <c r="AH546" s="1">
        <f t="shared" si="175"/>
        <v>0</v>
      </c>
      <c r="AI546" s="5">
        <f t="shared" si="176"/>
        <v>0.32328767123287672</v>
      </c>
      <c r="AJ546" s="5">
        <f t="shared" si="177"/>
        <v>7.2442019099590721E-2</v>
      </c>
      <c r="AK546" s="5">
        <f t="shared" si="178"/>
        <v>1.0866302864938608</v>
      </c>
      <c r="AL546" s="5">
        <f t="shared" si="179"/>
        <v>4.0748635743519781</v>
      </c>
      <c r="AM546" s="5">
        <f t="shared" si="180"/>
        <v>0</v>
      </c>
      <c r="AN546" s="5">
        <f t="shared" si="181"/>
        <v>4.0748635743519781</v>
      </c>
      <c r="AO546" s="1" t="s">
        <v>102</v>
      </c>
    </row>
    <row r="547" spans="1:41" x14ac:dyDescent="0.25">
      <c r="A547" s="1" t="s">
        <v>19</v>
      </c>
      <c r="B547" s="1" t="s">
        <v>37</v>
      </c>
      <c r="C547" s="1" t="s">
        <v>21</v>
      </c>
      <c r="D547" s="1" t="s">
        <v>38</v>
      </c>
      <c r="E547" s="1" t="s">
        <v>96</v>
      </c>
      <c r="F547" s="1" t="s">
        <v>103</v>
      </c>
      <c r="G547" s="1" t="s">
        <v>127</v>
      </c>
      <c r="H547" s="1" t="s">
        <v>525</v>
      </c>
      <c r="I547" s="1" t="s">
        <v>331</v>
      </c>
      <c r="J547" s="1" t="s">
        <v>101</v>
      </c>
      <c r="L547" s="1">
        <v>2798274</v>
      </c>
      <c r="M547" s="1" t="s">
        <v>756</v>
      </c>
      <c r="N547" s="8">
        <f t="shared" ref="N547:N560" si="183">DATE(2021,8,30)</f>
        <v>44438</v>
      </c>
      <c r="O547" s="8">
        <f>DATE(2024,12,23)</f>
        <v>45649</v>
      </c>
      <c r="P547" s="1">
        <v>2648</v>
      </c>
      <c r="Q547" s="1">
        <v>2400</v>
      </c>
      <c r="R547" s="1">
        <f t="shared" si="164"/>
        <v>2400</v>
      </c>
      <c r="S547" s="1">
        <v>2.5</v>
      </c>
      <c r="U547" s="1">
        <f t="shared" si="165"/>
        <v>1212</v>
      </c>
      <c r="V547" s="7">
        <f t="shared" si="166"/>
        <v>1.9801980198019802</v>
      </c>
      <c r="W547" s="7">
        <f t="shared" si="167"/>
        <v>722.77227722772273</v>
      </c>
      <c r="X547" s="7">
        <f t="shared" si="168"/>
        <v>0.90346534653465338</v>
      </c>
      <c r="AA547" s="8">
        <f t="shared" si="169"/>
        <v>44927</v>
      </c>
      <c r="AB547" s="8">
        <f t="shared" si="170"/>
        <v>45291</v>
      </c>
      <c r="AC547" s="1">
        <v>20</v>
      </c>
      <c r="AD547" s="1">
        <f t="shared" si="171"/>
        <v>365</v>
      </c>
      <c r="AE547" s="1">
        <f t="shared" si="172"/>
        <v>0</v>
      </c>
      <c r="AF547" s="1">
        <f t="shared" si="173"/>
        <v>0</v>
      </c>
      <c r="AG547" s="1">
        <f t="shared" si="174"/>
        <v>0</v>
      </c>
      <c r="AH547" s="1">
        <f t="shared" si="175"/>
        <v>0</v>
      </c>
      <c r="AI547" s="5">
        <f t="shared" si="176"/>
        <v>1</v>
      </c>
      <c r="AJ547" s="5">
        <f t="shared" si="177"/>
        <v>0.90346534653465338</v>
      </c>
      <c r="AK547" s="5">
        <f t="shared" si="178"/>
        <v>18.069306930693067</v>
      </c>
      <c r="AL547" s="5">
        <f t="shared" si="179"/>
        <v>45.17326732673267</v>
      </c>
      <c r="AM547" s="5">
        <f t="shared" si="180"/>
        <v>0</v>
      </c>
      <c r="AN547" s="5">
        <f t="shared" si="181"/>
        <v>45.17326732673267</v>
      </c>
      <c r="AO547" s="1" t="s">
        <v>102</v>
      </c>
    </row>
    <row r="548" spans="1:41" x14ac:dyDescent="0.25">
      <c r="A548" s="1" t="s">
        <v>19</v>
      </c>
      <c r="B548" s="1" t="s">
        <v>37</v>
      </c>
      <c r="C548" s="1" t="s">
        <v>21</v>
      </c>
      <c r="D548" s="1" t="s">
        <v>38</v>
      </c>
      <c r="E548" s="1" t="s">
        <v>96</v>
      </c>
      <c r="F548" s="1" t="s">
        <v>103</v>
      </c>
      <c r="G548" s="1" t="s">
        <v>127</v>
      </c>
      <c r="H548" s="1" t="s">
        <v>555</v>
      </c>
      <c r="I548" s="1" t="s">
        <v>331</v>
      </c>
      <c r="J548" s="1" t="s">
        <v>101</v>
      </c>
      <c r="L548" s="1">
        <v>2798275</v>
      </c>
      <c r="M548" s="1" t="s">
        <v>757</v>
      </c>
      <c r="N548" s="8">
        <f t="shared" si="183"/>
        <v>44438</v>
      </c>
      <c r="O548" s="8">
        <f>DATE(2024,12,23)</f>
        <v>45649</v>
      </c>
      <c r="P548" s="1">
        <v>2562</v>
      </c>
      <c r="Q548" s="1">
        <v>2400</v>
      </c>
      <c r="R548" s="1">
        <f t="shared" si="164"/>
        <v>2400</v>
      </c>
      <c r="S548" s="1">
        <v>2.5</v>
      </c>
      <c r="U548" s="1">
        <f t="shared" si="165"/>
        <v>1212</v>
      </c>
      <c r="V548" s="7">
        <f t="shared" si="166"/>
        <v>1.9801980198019802</v>
      </c>
      <c r="W548" s="7">
        <f t="shared" si="167"/>
        <v>722.77227722772273</v>
      </c>
      <c r="X548" s="7">
        <f t="shared" si="168"/>
        <v>0.90346534653465338</v>
      </c>
      <c r="AA548" s="8">
        <f t="shared" si="169"/>
        <v>44927</v>
      </c>
      <c r="AB548" s="8">
        <f t="shared" si="170"/>
        <v>45291</v>
      </c>
      <c r="AC548" s="1">
        <v>18</v>
      </c>
      <c r="AD548" s="1">
        <f t="shared" si="171"/>
        <v>365</v>
      </c>
      <c r="AE548" s="1">
        <f t="shared" si="172"/>
        <v>0</v>
      </c>
      <c r="AF548" s="1">
        <f t="shared" si="173"/>
        <v>0</v>
      </c>
      <c r="AG548" s="1">
        <f t="shared" si="174"/>
        <v>0</v>
      </c>
      <c r="AH548" s="1">
        <f t="shared" si="175"/>
        <v>0</v>
      </c>
      <c r="AI548" s="5">
        <f t="shared" si="176"/>
        <v>1</v>
      </c>
      <c r="AJ548" s="5">
        <f t="shared" si="177"/>
        <v>0.90346534653465338</v>
      </c>
      <c r="AK548" s="5">
        <f t="shared" si="178"/>
        <v>16.262376237623762</v>
      </c>
      <c r="AL548" s="5">
        <f t="shared" si="179"/>
        <v>40.655940594059402</v>
      </c>
      <c r="AM548" s="5">
        <f t="shared" si="180"/>
        <v>0</v>
      </c>
      <c r="AN548" s="5">
        <f t="shared" si="181"/>
        <v>40.655940594059402</v>
      </c>
      <c r="AO548" s="1" t="s">
        <v>102</v>
      </c>
    </row>
    <row r="549" spans="1:41" x14ac:dyDescent="0.25">
      <c r="A549" s="1" t="s">
        <v>19</v>
      </c>
      <c r="B549" s="1" t="s">
        <v>37</v>
      </c>
      <c r="C549" s="1" t="s">
        <v>21</v>
      </c>
      <c r="D549" s="1" t="s">
        <v>38</v>
      </c>
      <c r="E549" s="1" t="s">
        <v>96</v>
      </c>
      <c r="F549" s="1" t="s">
        <v>103</v>
      </c>
      <c r="G549" s="1" t="s">
        <v>127</v>
      </c>
      <c r="H549" s="1" t="s">
        <v>562</v>
      </c>
      <c r="I549" s="1" t="s">
        <v>331</v>
      </c>
      <c r="J549" s="1" t="s">
        <v>101</v>
      </c>
      <c r="L549" s="1">
        <v>2798279</v>
      </c>
      <c r="M549" s="1" t="s">
        <v>758</v>
      </c>
      <c r="N549" s="8">
        <f t="shared" si="183"/>
        <v>44438</v>
      </c>
      <c r="O549" s="8">
        <f>DATE(2024,7,20)</f>
        <v>45493</v>
      </c>
      <c r="P549" s="1">
        <v>2548</v>
      </c>
      <c r="Q549" s="1">
        <v>2400</v>
      </c>
      <c r="R549" s="1">
        <f t="shared" si="164"/>
        <v>2400</v>
      </c>
      <c r="S549" s="1">
        <v>2.5</v>
      </c>
      <c r="U549" s="1">
        <f t="shared" si="165"/>
        <v>1056</v>
      </c>
      <c r="V549" s="7">
        <f t="shared" si="166"/>
        <v>2.2727272727272729</v>
      </c>
      <c r="W549" s="7">
        <f t="shared" si="167"/>
        <v>829.54545454545462</v>
      </c>
      <c r="X549" s="7">
        <f t="shared" si="168"/>
        <v>1.0369318181818183</v>
      </c>
      <c r="AA549" s="8">
        <f t="shared" si="169"/>
        <v>44927</v>
      </c>
      <c r="AB549" s="8">
        <f t="shared" si="170"/>
        <v>45291</v>
      </c>
      <c r="AC549" s="1">
        <v>24</v>
      </c>
      <c r="AD549" s="1">
        <f t="shared" si="171"/>
        <v>365</v>
      </c>
      <c r="AE549" s="1">
        <f t="shared" si="172"/>
        <v>0</v>
      </c>
      <c r="AF549" s="1">
        <f t="shared" si="173"/>
        <v>0</v>
      </c>
      <c r="AG549" s="1">
        <f t="shared" si="174"/>
        <v>0</v>
      </c>
      <c r="AH549" s="1">
        <f t="shared" si="175"/>
        <v>0</v>
      </c>
      <c r="AI549" s="5">
        <f t="shared" si="176"/>
        <v>1</v>
      </c>
      <c r="AJ549" s="5">
        <f t="shared" si="177"/>
        <v>1.0369318181818183</v>
      </c>
      <c r="AK549" s="5">
        <f t="shared" si="178"/>
        <v>24.88636363636364</v>
      </c>
      <c r="AL549" s="5">
        <f t="shared" si="179"/>
        <v>62.215909090909101</v>
      </c>
      <c r="AM549" s="5">
        <f t="shared" si="180"/>
        <v>0</v>
      </c>
      <c r="AN549" s="5">
        <f t="shared" si="181"/>
        <v>62.215909090909101</v>
      </c>
      <c r="AO549" s="1" t="s">
        <v>102</v>
      </c>
    </row>
    <row r="550" spans="1:41" x14ac:dyDescent="0.25">
      <c r="A550" s="1" t="s">
        <v>19</v>
      </c>
      <c r="B550" s="1" t="s">
        <v>37</v>
      </c>
      <c r="C550" s="1" t="s">
        <v>21</v>
      </c>
      <c r="D550" s="1" t="s">
        <v>38</v>
      </c>
      <c r="E550" s="1" t="s">
        <v>96</v>
      </c>
      <c r="F550" s="1" t="s">
        <v>103</v>
      </c>
      <c r="G550" s="1" t="s">
        <v>127</v>
      </c>
      <c r="H550" s="1" t="s">
        <v>518</v>
      </c>
      <c r="I550" s="1" t="s">
        <v>162</v>
      </c>
      <c r="J550" s="1" t="s">
        <v>101</v>
      </c>
      <c r="L550" s="1">
        <v>2798282</v>
      </c>
      <c r="M550" s="1" t="s">
        <v>759</v>
      </c>
      <c r="N550" s="8">
        <f t="shared" si="183"/>
        <v>44438</v>
      </c>
      <c r="O550" s="8">
        <f>DATE(2024,7,20)</f>
        <v>45493</v>
      </c>
      <c r="P550" s="1">
        <v>2130</v>
      </c>
      <c r="Q550" s="1">
        <v>2000</v>
      </c>
      <c r="R550" s="1">
        <f t="shared" si="164"/>
        <v>2000</v>
      </c>
      <c r="S550" s="1">
        <v>1.5</v>
      </c>
      <c r="U550" s="1">
        <f t="shared" si="165"/>
        <v>1056</v>
      </c>
      <c r="V550" s="7">
        <f t="shared" si="166"/>
        <v>1.893939393939394</v>
      </c>
      <c r="W550" s="7">
        <f t="shared" si="167"/>
        <v>691.28787878787887</v>
      </c>
      <c r="X550" s="7">
        <f t="shared" si="168"/>
        <v>0.86410984848484862</v>
      </c>
      <c r="AA550" s="8">
        <f t="shared" si="169"/>
        <v>44927</v>
      </c>
      <c r="AB550" s="8">
        <f t="shared" si="170"/>
        <v>45291</v>
      </c>
      <c r="AC550" s="1">
        <v>29</v>
      </c>
      <c r="AD550" s="1">
        <f t="shared" si="171"/>
        <v>365</v>
      </c>
      <c r="AE550" s="1">
        <f t="shared" si="172"/>
        <v>0</v>
      </c>
      <c r="AF550" s="1">
        <f t="shared" si="173"/>
        <v>0</v>
      </c>
      <c r="AG550" s="1">
        <f t="shared" si="174"/>
        <v>0</v>
      </c>
      <c r="AH550" s="1">
        <f t="shared" si="175"/>
        <v>0</v>
      </c>
      <c r="AI550" s="5">
        <f t="shared" si="176"/>
        <v>1</v>
      </c>
      <c r="AJ550" s="5">
        <f t="shared" si="177"/>
        <v>0.86410984848484862</v>
      </c>
      <c r="AK550" s="5">
        <f t="shared" si="178"/>
        <v>25.059185606060609</v>
      </c>
      <c r="AL550" s="5">
        <f t="shared" si="179"/>
        <v>37.588778409090914</v>
      </c>
      <c r="AM550" s="5">
        <f t="shared" si="180"/>
        <v>0</v>
      </c>
      <c r="AN550" s="5">
        <f t="shared" si="181"/>
        <v>37.588778409090914</v>
      </c>
      <c r="AO550" s="1" t="s">
        <v>102</v>
      </c>
    </row>
    <row r="551" spans="1:41" x14ac:dyDescent="0.25">
      <c r="A551" s="1" t="s">
        <v>19</v>
      </c>
      <c r="B551" s="1" t="s">
        <v>37</v>
      </c>
      <c r="C551" s="1" t="s">
        <v>21</v>
      </c>
      <c r="D551" s="1" t="s">
        <v>38</v>
      </c>
      <c r="E551" s="1" t="s">
        <v>96</v>
      </c>
      <c r="F551" s="1" t="s">
        <v>103</v>
      </c>
      <c r="G551" s="1" t="s">
        <v>127</v>
      </c>
      <c r="H551" s="1" t="s">
        <v>528</v>
      </c>
      <c r="I551" s="1" t="s">
        <v>162</v>
      </c>
      <c r="J551" s="1" t="s">
        <v>101</v>
      </c>
      <c r="L551" s="1">
        <v>2798283</v>
      </c>
      <c r="M551" s="1" t="s">
        <v>760</v>
      </c>
      <c r="N551" s="8">
        <f t="shared" si="183"/>
        <v>44438</v>
      </c>
      <c r="O551" s="8">
        <f>DATE(2024,7,20)</f>
        <v>45493</v>
      </c>
      <c r="P551" s="1">
        <v>2130</v>
      </c>
      <c r="Q551" s="1">
        <v>2000</v>
      </c>
      <c r="R551" s="1">
        <f t="shared" si="164"/>
        <v>2000</v>
      </c>
      <c r="S551" s="1">
        <v>1</v>
      </c>
      <c r="U551" s="1">
        <f t="shared" si="165"/>
        <v>1056</v>
      </c>
      <c r="V551" s="7">
        <f t="shared" si="166"/>
        <v>1.893939393939394</v>
      </c>
      <c r="W551" s="7">
        <f t="shared" si="167"/>
        <v>691.28787878787887</v>
      </c>
      <c r="X551" s="7">
        <f t="shared" si="168"/>
        <v>0.86410984848484862</v>
      </c>
      <c r="AA551" s="8">
        <f t="shared" si="169"/>
        <v>44927</v>
      </c>
      <c r="AB551" s="8">
        <f t="shared" si="170"/>
        <v>45291</v>
      </c>
      <c r="AC551" s="1">
        <v>22</v>
      </c>
      <c r="AD551" s="1">
        <f t="shared" si="171"/>
        <v>365</v>
      </c>
      <c r="AE551" s="1">
        <f t="shared" si="172"/>
        <v>0</v>
      </c>
      <c r="AF551" s="1">
        <f t="shared" si="173"/>
        <v>0</v>
      </c>
      <c r="AG551" s="1">
        <f t="shared" si="174"/>
        <v>0</v>
      </c>
      <c r="AH551" s="1">
        <f t="shared" si="175"/>
        <v>0</v>
      </c>
      <c r="AI551" s="5">
        <f t="shared" si="176"/>
        <v>1</v>
      </c>
      <c r="AJ551" s="5">
        <f t="shared" si="177"/>
        <v>0.86410984848484862</v>
      </c>
      <c r="AK551" s="5">
        <f t="shared" si="178"/>
        <v>19.010416666666671</v>
      </c>
      <c r="AL551" s="5">
        <f t="shared" si="179"/>
        <v>19.010416666666671</v>
      </c>
      <c r="AM551" s="5">
        <f t="shared" si="180"/>
        <v>0</v>
      </c>
      <c r="AN551" s="5">
        <f t="shared" si="181"/>
        <v>19.010416666666671</v>
      </c>
      <c r="AO551" s="1" t="s">
        <v>102</v>
      </c>
    </row>
    <row r="552" spans="1:41" x14ac:dyDescent="0.25">
      <c r="A552" s="1" t="s">
        <v>19</v>
      </c>
      <c r="B552" s="1" t="s">
        <v>37</v>
      </c>
      <c r="C552" s="1" t="s">
        <v>21</v>
      </c>
      <c r="D552" s="1" t="s">
        <v>38</v>
      </c>
      <c r="E552" s="1" t="s">
        <v>96</v>
      </c>
      <c r="F552" s="1" t="s">
        <v>103</v>
      </c>
      <c r="G552" s="1" t="s">
        <v>98</v>
      </c>
      <c r="H552" s="1" t="s">
        <v>537</v>
      </c>
      <c r="I552" s="1" t="s">
        <v>162</v>
      </c>
      <c r="J552" s="1" t="s">
        <v>101</v>
      </c>
      <c r="L552" s="1">
        <v>2798294</v>
      </c>
      <c r="M552" s="1" t="s">
        <v>761</v>
      </c>
      <c r="N552" s="8">
        <f t="shared" si="183"/>
        <v>44438</v>
      </c>
      <c r="O552" s="8">
        <f>DATE(2026,7,25)</f>
        <v>46228</v>
      </c>
      <c r="P552" s="1">
        <v>4460</v>
      </c>
      <c r="Q552" s="1">
        <v>3200</v>
      </c>
      <c r="R552" s="1">
        <f t="shared" si="164"/>
        <v>3200</v>
      </c>
      <c r="S552" s="1">
        <v>2.5</v>
      </c>
      <c r="U552" s="1">
        <f t="shared" si="165"/>
        <v>1791</v>
      </c>
      <c r="V552" s="7">
        <f t="shared" si="166"/>
        <v>1.7867113344500278</v>
      </c>
      <c r="W552" s="7">
        <f t="shared" si="167"/>
        <v>652.14963707426011</v>
      </c>
      <c r="X552" s="7">
        <f t="shared" si="168"/>
        <v>0.81518704634282513</v>
      </c>
      <c r="AA552" s="8">
        <f t="shared" si="169"/>
        <v>44927</v>
      </c>
      <c r="AB552" s="8">
        <f t="shared" si="170"/>
        <v>45291</v>
      </c>
      <c r="AC552" s="1">
        <v>36</v>
      </c>
      <c r="AD552" s="1">
        <f t="shared" si="171"/>
        <v>365</v>
      </c>
      <c r="AE552" s="1">
        <f t="shared" si="172"/>
        <v>0</v>
      </c>
      <c r="AF552" s="1">
        <f t="shared" si="173"/>
        <v>0</v>
      </c>
      <c r="AG552" s="1">
        <f t="shared" si="174"/>
        <v>0</v>
      </c>
      <c r="AH552" s="1">
        <f t="shared" si="175"/>
        <v>0</v>
      </c>
      <c r="AI552" s="5">
        <f t="shared" si="176"/>
        <v>1</v>
      </c>
      <c r="AJ552" s="5">
        <f t="shared" si="177"/>
        <v>0.81518704634282513</v>
      </c>
      <c r="AK552" s="5">
        <f t="shared" si="178"/>
        <v>29.346733668341706</v>
      </c>
      <c r="AL552" s="5">
        <f t="shared" si="179"/>
        <v>73.366834170854261</v>
      </c>
      <c r="AM552" s="5">
        <f t="shared" si="180"/>
        <v>0</v>
      </c>
      <c r="AN552" s="5">
        <f t="shared" si="181"/>
        <v>73.366834170854261</v>
      </c>
      <c r="AO552" s="1" t="s">
        <v>102</v>
      </c>
    </row>
    <row r="553" spans="1:41" x14ac:dyDescent="0.25">
      <c r="A553" s="1" t="s">
        <v>19</v>
      </c>
      <c r="B553" s="1" t="s">
        <v>37</v>
      </c>
      <c r="C553" s="1" t="s">
        <v>21</v>
      </c>
      <c r="D553" s="1" t="s">
        <v>38</v>
      </c>
      <c r="E553" s="1" t="s">
        <v>96</v>
      </c>
      <c r="F553" s="1" t="s">
        <v>103</v>
      </c>
      <c r="G553" s="1" t="s">
        <v>98</v>
      </c>
      <c r="H553" s="1" t="s">
        <v>542</v>
      </c>
      <c r="I553" s="1" t="s">
        <v>210</v>
      </c>
      <c r="J553" s="1" t="s">
        <v>101</v>
      </c>
      <c r="L553" s="1">
        <v>2798296</v>
      </c>
      <c r="M553" s="1" t="s">
        <v>762</v>
      </c>
      <c r="N553" s="8">
        <f t="shared" si="183"/>
        <v>44438</v>
      </c>
      <c r="O553" s="8">
        <f>DATE(2026,7,25)</f>
        <v>46228</v>
      </c>
      <c r="P553" s="1">
        <v>4610</v>
      </c>
      <c r="Q553" s="1">
        <v>3600</v>
      </c>
      <c r="R553" s="1">
        <f t="shared" si="164"/>
        <v>3600</v>
      </c>
      <c r="S553" s="1">
        <v>2.5</v>
      </c>
      <c r="U553" s="1">
        <f t="shared" si="165"/>
        <v>1791</v>
      </c>
      <c r="V553" s="7">
        <f t="shared" si="166"/>
        <v>2.0100502512562812</v>
      </c>
      <c r="W553" s="7">
        <f t="shared" si="167"/>
        <v>733.6683417085427</v>
      </c>
      <c r="X553" s="7">
        <f t="shared" si="168"/>
        <v>0.91708542713567842</v>
      </c>
      <c r="AA553" s="8">
        <f t="shared" si="169"/>
        <v>44927</v>
      </c>
      <c r="AB553" s="8">
        <f t="shared" si="170"/>
        <v>45291</v>
      </c>
      <c r="AC553" s="1">
        <v>28</v>
      </c>
      <c r="AD553" s="1">
        <f t="shared" si="171"/>
        <v>365</v>
      </c>
      <c r="AE553" s="1">
        <f t="shared" si="172"/>
        <v>0</v>
      </c>
      <c r="AF553" s="1">
        <f t="shared" si="173"/>
        <v>0</v>
      </c>
      <c r="AG553" s="1">
        <f t="shared" si="174"/>
        <v>0</v>
      </c>
      <c r="AH553" s="1">
        <f t="shared" si="175"/>
        <v>0</v>
      </c>
      <c r="AI553" s="5">
        <f t="shared" si="176"/>
        <v>1</v>
      </c>
      <c r="AJ553" s="5">
        <f t="shared" si="177"/>
        <v>0.91708542713567842</v>
      </c>
      <c r="AK553" s="5">
        <f t="shared" si="178"/>
        <v>25.678391959798997</v>
      </c>
      <c r="AL553" s="5">
        <f t="shared" si="179"/>
        <v>64.195979899497488</v>
      </c>
      <c r="AM553" s="5">
        <f t="shared" si="180"/>
        <v>0</v>
      </c>
      <c r="AN553" s="5">
        <f t="shared" si="181"/>
        <v>64.195979899497488</v>
      </c>
      <c r="AO553" s="1" t="s">
        <v>102</v>
      </c>
    </row>
    <row r="554" spans="1:41" x14ac:dyDescent="0.25">
      <c r="A554" s="1" t="s">
        <v>19</v>
      </c>
      <c r="B554" s="1" t="s">
        <v>37</v>
      </c>
      <c r="C554" s="1" t="s">
        <v>21</v>
      </c>
      <c r="D554" s="1" t="s">
        <v>38</v>
      </c>
      <c r="E554" s="1" t="s">
        <v>96</v>
      </c>
      <c r="F554" s="1" t="s">
        <v>103</v>
      </c>
      <c r="G554" s="1" t="s">
        <v>98</v>
      </c>
      <c r="H554" s="1" t="s">
        <v>725</v>
      </c>
      <c r="I554" s="1" t="s">
        <v>210</v>
      </c>
      <c r="J554" s="1" t="s">
        <v>101</v>
      </c>
      <c r="L554" s="1">
        <v>2798298</v>
      </c>
      <c r="M554" s="1" t="s">
        <v>763</v>
      </c>
      <c r="N554" s="8">
        <f t="shared" si="183"/>
        <v>44438</v>
      </c>
      <c r="O554" s="8">
        <f>DATE(2026,7,25)</f>
        <v>46228</v>
      </c>
      <c r="P554" s="1">
        <v>3662</v>
      </c>
      <c r="Q554" s="1">
        <v>3600</v>
      </c>
      <c r="R554" s="1">
        <f t="shared" si="164"/>
        <v>3600</v>
      </c>
      <c r="S554" s="1">
        <v>2.5</v>
      </c>
      <c r="U554" s="1">
        <f t="shared" si="165"/>
        <v>1791</v>
      </c>
      <c r="V554" s="7">
        <f t="shared" si="166"/>
        <v>2.0100502512562812</v>
      </c>
      <c r="W554" s="7">
        <f t="shared" si="167"/>
        <v>733.6683417085427</v>
      </c>
      <c r="X554" s="7">
        <f t="shared" si="168"/>
        <v>0.91708542713567842</v>
      </c>
      <c r="AA554" s="8">
        <f t="shared" si="169"/>
        <v>44927</v>
      </c>
      <c r="AB554" s="8">
        <f t="shared" si="170"/>
        <v>45291</v>
      </c>
      <c r="AC554" s="1">
        <v>37</v>
      </c>
      <c r="AD554" s="1">
        <f t="shared" si="171"/>
        <v>365</v>
      </c>
      <c r="AE554" s="1">
        <f t="shared" si="172"/>
        <v>0</v>
      </c>
      <c r="AF554" s="1">
        <f t="shared" si="173"/>
        <v>0</v>
      </c>
      <c r="AG554" s="1">
        <f t="shared" si="174"/>
        <v>0</v>
      </c>
      <c r="AH554" s="1">
        <f t="shared" si="175"/>
        <v>0</v>
      </c>
      <c r="AI554" s="5">
        <f t="shared" si="176"/>
        <v>1</v>
      </c>
      <c r="AJ554" s="5">
        <f t="shared" si="177"/>
        <v>0.91708542713567842</v>
      </c>
      <c r="AK554" s="5">
        <f t="shared" si="178"/>
        <v>33.9321608040201</v>
      </c>
      <c r="AL554" s="5">
        <f t="shared" si="179"/>
        <v>84.83040201005025</v>
      </c>
      <c r="AM554" s="5">
        <f t="shared" si="180"/>
        <v>0</v>
      </c>
      <c r="AN554" s="5">
        <f t="shared" si="181"/>
        <v>84.83040201005025</v>
      </c>
      <c r="AO554" s="1" t="s">
        <v>102</v>
      </c>
    </row>
    <row r="555" spans="1:41" x14ac:dyDescent="0.25">
      <c r="A555" s="1" t="s">
        <v>19</v>
      </c>
      <c r="B555" s="1" t="s">
        <v>37</v>
      </c>
      <c r="C555" s="1" t="s">
        <v>21</v>
      </c>
      <c r="D555" s="1" t="s">
        <v>38</v>
      </c>
      <c r="E555" s="1" t="s">
        <v>96</v>
      </c>
      <c r="F555" s="1" t="s">
        <v>103</v>
      </c>
      <c r="G555" s="1" t="s">
        <v>98</v>
      </c>
      <c r="H555" s="1" t="s">
        <v>523</v>
      </c>
      <c r="I555" s="1" t="s">
        <v>100</v>
      </c>
      <c r="J555" s="1" t="s">
        <v>101</v>
      </c>
      <c r="L555" s="1">
        <v>2798302</v>
      </c>
      <c r="M555" s="1" t="s">
        <v>764</v>
      </c>
      <c r="N555" s="8">
        <f t="shared" si="183"/>
        <v>44438</v>
      </c>
      <c r="O555" s="8">
        <f>DATE(2024,7,20)</f>
        <v>45493</v>
      </c>
      <c r="P555" s="1">
        <v>2587</v>
      </c>
      <c r="Q555" s="1">
        <v>2400</v>
      </c>
      <c r="R555" s="1">
        <f t="shared" si="164"/>
        <v>2400</v>
      </c>
      <c r="S555" s="1">
        <v>1</v>
      </c>
      <c r="U555" s="1">
        <f t="shared" si="165"/>
        <v>1056</v>
      </c>
      <c r="V555" s="7">
        <f t="shared" si="166"/>
        <v>2.2727272727272729</v>
      </c>
      <c r="W555" s="7">
        <f t="shared" si="167"/>
        <v>829.54545454545462</v>
      </c>
      <c r="X555" s="7">
        <f t="shared" si="168"/>
        <v>1.0369318181818183</v>
      </c>
      <c r="AA555" s="8">
        <f t="shared" si="169"/>
        <v>44927</v>
      </c>
      <c r="AB555" s="8">
        <f t="shared" si="170"/>
        <v>45291</v>
      </c>
      <c r="AC555" s="1">
        <v>34</v>
      </c>
      <c r="AD555" s="1">
        <f t="shared" si="171"/>
        <v>365</v>
      </c>
      <c r="AE555" s="1">
        <f t="shared" si="172"/>
        <v>0</v>
      </c>
      <c r="AF555" s="1">
        <f t="shared" si="173"/>
        <v>0</v>
      </c>
      <c r="AG555" s="1">
        <f t="shared" si="174"/>
        <v>0</v>
      </c>
      <c r="AH555" s="1">
        <f t="shared" si="175"/>
        <v>0</v>
      </c>
      <c r="AI555" s="5">
        <f t="shared" si="176"/>
        <v>1</v>
      </c>
      <c r="AJ555" s="5">
        <f t="shared" si="177"/>
        <v>1.0369318181818183</v>
      </c>
      <c r="AK555" s="5">
        <f t="shared" si="178"/>
        <v>35.255681818181827</v>
      </c>
      <c r="AL555" s="5">
        <f t="shared" si="179"/>
        <v>35.255681818181827</v>
      </c>
      <c r="AM555" s="5">
        <f t="shared" si="180"/>
        <v>0</v>
      </c>
      <c r="AN555" s="5">
        <f t="shared" si="181"/>
        <v>35.255681818181827</v>
      </c>
      <c r="AO555" s="1" t="s">
        <v>102</v>
      </c>
    </row>
    <row r="556" spans="1:41" x14ac:dyDescent="0.25">
      <c r="A556" s="1" t="s">
        <v>19</v>
      </c>
      <c r="B556" s="1" t="s">
        <v>37</v>
      </c>
      <c r="C556" s="1" t="s">
        <v>21</v>
      </c>
      <c r="D556" s="1" t="s">
        <v>38</v>
      </c>
      <c r="E556" s="1" t="s">
        <v>96</v>
      </c>
      <c r="F556" s="1" t="s">
        <v>103</v>
      </c>
      <c r="G556" s="1" t="s">
        <v>98</v>
      </c>
      <c r="H556" s="1" t="s">
        <v>566</v>
      </c>
      <c r="I556" s="1" t="s">
        <v>336</v>
      </c>
      <c r="J556" s="1" t="s">
        <v>101</v>
      </c>
      <c r="L556" s="1">
        <v>2798304</v>
      </c>
      <c r="M556" s="1" t="s">
        <v>765</v>
      </c>
      <c r="N556" s="8">
        <f t="shared" si="183"/>
        <v>44438</v>
      </c>
      <c r="O556" s="8">
        <f>DATE(2024,7,20)</f>
        <v>45493</v>
      </c>
      <c r="P556" s="1">
        <v>2600</v>
      </c>
      <c r="Q556" s="1">
        <v>2400</v>
      </c>
      <c r="R556" s="1">
        <f t="shared" si="164"/>
        <v>2400</v>
      </c>
      <c r="S556" s="1">
        <v>1</v>
      </c>
      <c r="U556" s="1">
        <f t="shared" si="165"/>
        <v>1056</v>
      </c>
      <c r="V556" s="7">
        <f t="shared" si="166"/>
        <v>2.2727272727272729</v>
      </c>
      <c r="W556" s="7">
        <f t="shared" si="167"/>
        <v>829.54545454545462</v>
      </c>
      <c r="X556" s="7">
        <f t="shared" si="168"/>
        <v>1.0369318181818183</v>
      </c>
      <c r="AA556" s="8">
        <f t="shared" si="169"/>
        <v>44927</v>
      </c>
      <c r="AB556" s="8">
        <f t="shared" si="170"/>
        <v>45291</v>
      </c>
      <c r="AC556" s="1">
        <v>35</v>
      </c>
      <c r="AD556" s="1">
        <f t="shared" si="171"/>
        <v>365</v>
      </c>
      <c r="AE556" s="1">
        <f t="shared" si="172"/>
        <v>0</v>
      </c>
      <c r="AF556" s="1">
        <f t="shared" si="173"/>
        <v>0</v>
      </c>
      <c r="AG556" s="1">
        <f t="shared" si="174"/>
        <v>0</v>
      </c>
      <c r="AH556" s="1">
        <f t="shared" si="175"/>
        <v>0</v>
      </c>
      <c r="AI556" s="5">
        <f t="shared" si="176"/>
        <v>1</v>
      </c>
      <c r="AJ556" s="5">
        <f t="shared" si="177"/>
        <v>1.0369318181818183</v>
      </c>
      <c r="AK556" s="5">
        <f t="shared" si="178"/>
        <v>36.29261363636364</v>
      </c>
      <c r="AL556" s="5">
        <f t="shared" si="179"/>
        <v>36.29261363636364</v>
      </c>
      <c r="AM556" s="5">
        <f t="shared" si="180"/>
        <v>0</v>
      </c>
      <c r="AN556" s="5">
        <f t="shared" si="181"/>
        <v>36.29261363636364</v>
      </c>
      <c r="AO556" s="1" t="s">
        <v>102</v>
      </c>
    </row>
    <row r="557" spans="1:41" x14ac:dyDescent="0.25">
      <c r="A557" s="1" t="s">
        <v>19</v>
      </c>
      <c r="B557" s="1" t="s">
        <v>37</v>
      </c>
      <c r="C557" s="1" t="s">
        <v>21</v>
      </c>
      <c r="D557" s="1" t="s">
        <v>38</v>
      </c>
      <c r="E557" s="1" t="s">
        <v>96</v>
      </c>
      <c r="F557" s="1" t="s">
        <v>103</v>
      </c>
      <c r="G557" s="1" t="s">
        <v>114</v>
      </c>
      <c r="H557" s="1" t="s">
        <v>574</v>
      </c>
      <c r="I557" s="1" t="s">
        <v>331</v>
      </c>
      <c r="J557" s="1" t="s">
        <v>101</v>
      </c>
      <c r="K557" s="1" t="s">
        <v>175</v>
      </c>
      <c r="L557" s="1">
        <v>2798308</v>
      </c>
      <c r="M557" s="1" t="s">
        <v>766</v>
      </c>
      <c r="N557" s="8">
        <f t="shared" si="183"/>
        <v>44438</v>
      </c>
      <c r="O557" s="8">
        <f>DATE(2023,7,15)</f>
        <v>45122</v>
      </c>
      <c r="P557" s="1">
        <v>1258</v>
      </c>
      <c r="Q557" s="1">
        <v>1200</v>
      </c>
      <c r="R557" s="1">
        <f t="shared" si="164"/>
        <v>1200</v>
      </c>
      <c r="S557" s="1">
        <v>2.5</v>
      </c>
      <c r="U557" s="1">
        <f t="shared" si="165"/>
        <v>685</v>
      </c>
      <c r="V557" s="7">
        <f t="shared" si="166"/>
        <v>1.7518248175182483</v>
      </c>
      <c r="W557" s="7">
        <f t="shared" si="167"/>
        <v>639.41605839416059</v>
      </c>
      <c r="X557" s="7">
        <f t="shared" si="168"/>
        <v>0.7992700729927007</v>
      </c>
      <c r="AA557" s="8">
        <f t="shared" si="169"/>
        <v>44927</v>
      </c>
      <c r="AB557" s="8">
        <f t="shared" si="170"/>
        <v>45291</v>
      </c>
      <c r="AC557" s="1">
        <v>23</v>
      </c>
      <c r="AD557" s="1">
        <f t="shared" si="171"/>
        <v>0</v>
      </c>
      <c r="AE557" s="1">
        <f t="shared" si="172"/>
        <v>0</v>
      </c>
      <c r="AF557" s="1">
        <f t="shared" si="173"/>
        <v>196</v>
      </c>
      <c r="AG557" s="1">
        <f t="shared" si="174"/>
        <v>0</v>
      </c>
      <c r="AH557" s="1">
        <f t="shared" si="175"/>
        <v>0</v>
      </c>
      <c r="AI557" s="5">
        <f t="shared" si="176"/>
        <v>0.53698630136986303</v>
      </c>
      <c r="AJ557" s="5">
        <f t="shared" si="177"/>
        <v>0.42919708029197079</v>
      </c>
      <c r="AK557" s="5">
        <f t="shared" si="178"/>
        <v>9.8715328467153274</v>
      </c>
      <c r="AL557" s="5">
        <f t="shared" si="179"/>
        <v>24.678832116788318</v>
      </c>
      <c r="AM557" s="5">
        <f t="shared" si="180"/>
        <v>0</v>
      </c>
      <c r="AN557" s="5">
        <f t="shared" si="181"/>
        <v>24.678832116788318</v>
      </c>
      <c r="AO557" s="1" t="s">
        <v>102</v>
      </c>
    </row>
    <row r="558" spans="1:41" x14ac:dyDescent="0.25">
      <c r="A558" s="1" t="s">
        <v>19</v>
      </c>
      <c r="B558" s="1" t="s">
        <v>37</v>
      </c>
      <c r="C558" s="1" t="s">
        <v>21</v>
      </c>
      <c r="D558" s="1" t="s">
        <v>38</v>
      </c>
      <c r="E558" s="1" t="s">
        <v>96</v>
      </c>
      <c r="F558" s="1" t="s">
        <v>103</v>
      </c>
      <c r="G558" s="1" t="s">
        <v>114</v>
      </c>
      <c r="H558" s="1" t="s">
        <v>569</v>
      </c>
      <c r="I558" s="1" t="s">
        <v>331</v>
      </c>
      <c r="J558" s="1" t="s">
        <v>101</v>
      </c>
      <c r="K558" s="1" t="s">
        <v>175</v>
      </c>
      <c r="L558" s="1">
        <v>2798309</v>
      </c>
      <c r="M558" s="1" t="s">
        <v>767</v>
      </c>
      <c r="N558" s="8">
        <f t="shared" si="183"/>
        <v>44438</v>
      </c>
      <c r="O558" s="8">
        <f>DATE(2023,7,15)</f>
        <v>45122</v>
      </c>
      <c r="P558" s="1">
        <v>1360</v>
      </c>
      <c r="Q558" s="1">
        <v>1200</v>
      </c>
      <c r="R558" s="1">
        <f t="shared" si="164"/>
        <v>1200</v>
      </c>
      <c r="S558" s="1">
        <v>2.5</v>
      </c>
      <c r="U558" s="1">
        <f t="shared" si="165"/>
        <v>685</v>
      </c>
      <c r="V558" s="7">
        <f t="shared" si="166"/>
        <v>1.7518248175182483</v>
      </c>
      <c r="W558" s="7">
        <f t="shared" si="167"/>
        <v>639.41605839416059</v>
      </c>
      <c r="X558" s="7">
        <f t="shared" si="168"/>
        <v>0.7992700729927007</v>
      </c>
      <c r="AA558" s="8">
        <f t="shared" si="169"/>
        <v>44927</v>
      </c>
      <c r="AB558" s="8">
        <f t="shared" si="170"/>
        <v>45291</v>
      </c>
      <c r="AC558" s="1">
        <v>28</v>
      </c>
      <c r="AD558" s="1">
        <f t="shared" si="171"/>
        <v>0</v>
      </c>
      <c r="AE558" s="1">
        <f t="shared" si="172"/>
        <v>0</v>
      </c>
      <c r="AF558" s="1">
        <f t="shared" si="173"/>
        <v>196</v>
      </c>
      <c r="AG558" s="1">
        <f t="shared" si="174"/>
        <v>0</v>
      </c>
      <c r="AH558" s="1">
        <f t="shared" si="175"/>
        <v>0</v>
      </c>
      <c r="AI558" s="5">
        <f t="shared" si="176"/>
        <v>0.53698630136986303</v>
      </c>
      <c r="AJ558" s="5">
        <f t="shared" si="177"/>
        <v>0.42919708029197079</v>
      </c>
      <c r="AK558" s="5">
        <f t="shared" si="178"/>
        <v>12.017518248175183</v>
      </c>
      <c r="AL558" s="5">
        <f t="shared" si="179"/>
        <v>30.043795620437955</v>
      </c>
      <c r="AM558" s="5">
        <f t="shared" si="180"/>
        <v>0</v>
      </c>
      <c r="AN558" s="5">
        <f t="shared" si="181"/>
        <v>30.043795620437955</v>
      </c>
      <c r="AO558" s="1" t="s">
        <v>102</v>
      </c>
    </row>
    <row r="559" spans="1:41" x14ac:dyDescent="0.25">
      <c r="A559" s="1" t="s">
        <v>19</v>
      </c>
      <c r="B559" s="1" t="s">
        <v>37</v>
      </c>
      <c r="C559" s="1" t="s">
        <v>21</v>
      </c>
      <c r="D559" s="1" t="s">
        <v>38</v>
      </c>
      <c r="E559" s="1" t="s">
        <v>96</v>
      </c>
      <c r="F559" s="1" t="s">
        <v>103</v>
      </c>
      <c r="G559" s="1" t="s">
        <v>114</v>
      </c>
      <c r="H559" s="1" t="s">
        <v>590</v>
      </c>
      <c r="I559" s="1" t="s">
        <v>210</v>
      </c>
      <c r="J559" s="1" t="s">
        <v>101</v>
      </c>
      <c r="K559" s="1" t="s">
        <v>175</v>
      </c>
      <c r="L559" s="1">
        <v>2798311</v>
      </c>
      <c r="M559" s="1" t="s">
        <v>768</v>
      </c>
      <c r="N559" s="8">
        <f t="shared" si="183"/>
        <v>44438</v>
      </c>
      <c r="O559" s="8">
        <f>DATE(2023,7,15)</f>
        <v>45122</v>
      </c>
      <c r="P559" s="1">
        <v>1703</v>
      </c>
      <c r="Q559" s="1">
        <v>1200</v>
      </c>
      <c r="R559" s="1">
        <f t="shared" si="164"/>
        <v>1200</v>
      </c>
      <c r="S559" s="1">
        <v>2.5</v>
      </c>
      <c r="U559" s="1">
        <f t="shared" si="165"/>
        <v>685</v>
      </c>
      <c r="V559" s="7">
        <f t="shared" si="166"/>
        <v>1.7518248175182483</v>
      </c>
      <c r="W559" s="7">
        <f t="shared" si="167"/>
        <v>639.41605839416059</v>
      </c>
      <c r="X559" s="7">
        <f t="shared" si="168"/>
        <v>0.7992700729927007</v>
      </c>
      <c r="AA559" s="8">
        <f t="shared" si="169"/>
        <v>44927</v>
      </c>
      <c r="AB559" s="8">
        <f t="shared" si="170"/>
        <v>45291</v>
      </c>
      <c r="AC559" s="1">
        <v>2</v>
      </c>
      <c r="AD559" s="1">
        <f t="shared" si="171"/>
        <v>0</v>
      </c>
      <c r="AE559" s="1">
        <f t="shared" si="172"/>
        <v>0</v>
      </c>
      <c r="AF559" s="1">
        <f t="shared" si="173"/>
        <v>196</v>
      </c>
      <c r="AG559" s="1">
        <f t="shared" si="174"/>
        <v>0</v>
      </c>
      <c r="AH559" s="1">
        <f t="shared" si="175"/>
        <v>0</v>
      </c>
      <c r="AI559" s="5">
        <f t="shared" si="176"/>
        <v>0.53698630136986303</v>
      </c>
      <c r="AJ559" s="5">
        <f t="shared" si="177"/>
        <v>0.42919708029197079</v>
      </c>
      <c r="AK559" s="5">
        <f t="shared" si="178"/>
        <v>0.85839416058394158</v>
      </c>
      <c r="AL559" s="5">
        <f t="shared" si="179"/>
        <v>2.1459854014598538</v>
      </c>
      <c r="AM559" s="5">
        <f t="shared" si="180"/>
        <v>0</v>
      </c>
      <c r="AN559" s="5">
        <f t="shared" si="181"/>
        <v>2.1459854014598538</v>
      </c>
      <c r="AO559" s="1" t="s">
        <v>102</v>
      </c>
    </row>
    <row r="560" spans="1:41" x14ac:dyDescent="0.25">
      <c r="A560" s="1" t="s">
        <v>19</v>
      </c>
      <c r="B560" s="1" t="s">
        <v>37</v>
      </c>
      <c r="C560" s="1" t="s">
        <v>21</v>
      </c>
      <c r="D560" s="1" t="s">
        <v>38</v>
      </c>
      <c r="E560" s="1" t="s">
        <v>96</v>
      </c>
      <c r="F560" s="1" t="s">
        <v>103</v>
      </c>
      <c r="G560" s="1" t="s">
        <v>114</v>
      </c>
      <c r="H560" s="1" t="s">
        <v>592</v>
      </c>
      <c r="I560" s="1" t="s">
        <v>210</v>
      </c>
      <c r="J560" s="1" t="s">
        <v>101</v>
      </c>
      <c r="K560" s="1" t="s">
        <v>175</v>
      </c>
      <c r="L560" s="1">
        <v>2798312</v>
      </c>
      <c r="M560" s="1" t="s">
        <v>769</v>
      </c>
      <c r="N560" s="8">
        <f t="shared" si="183"/>
        <v>44438</v>
      </c>
      <c r="O560" s="8">
        <f>DATE(2023,7,15)</f>
        <v>45122</v>
      </c>
      <c r="P560" s="1">
        <v>1707</v>
      </c>
      <c r="Q560" s="1">
        <v>1200</v>
      </c>
      <c r="R560" s="1">
        <f t="shared" si="164"/>
        <v>1200</v>
      </c>
      <c r="S560" s="1">
        <v>2.5</v>
      </c>
      <c r="U560" s="1">
        <f t="shared" si="165"/>
        <v>685</v>
      </c>
      <c r="V560" s="7">
        <f t="shared" si="166"/>
        <v>1.7518248175182483</v>
      </c>
      <c r="W560" s="7">
        <f t="shared" si="167"/>
        <v>639.41605839416059</v>
      </c>
      <c r="X560" s="7">
        <f t="shared" si="168"/>
        <v>0.7992700729927007</v>
      </c>
      <c r="AA560" s="8">
        <f t="shared" si="169"/>
        <v>44927</v>
      </c>
      <c r="AB560" s="8">
        <f t="shared" si="170"/>
        <v>45291</v>
      </c>
      <c r="AC560" s="1">
        <v>16</v>
      </c>
      <c r="AD560" s="1">
        <f t="shared" si="171"/>
        <v>0</v>
      </c>
      <c r="AE560" s="1">
        <f t="shared" si="172"/>
        <v>0</v>
      </c>
      <c r="AF560" s="1">
        <f t="shared" si="173"/>
        <v>196</v>
      </c>
      <c r="AG560" s="1">
        <f t="shared" si="174"/>
        <v>0</v>
      </c>
      <c r="AH560" s="1">
        <f t="shared" si="175"/>
        <v>0</v>
      </c>
      <c r="AI560" s="5">
        <f t="shared" si="176"/>
        <v>0.53698630136986303</v>
      </c>
      <c r="AJ560" s="5">
        <f t="shared" si="177"/>
        <v>0.42919708029197079</v>
      </c>
      <c r="AK560" s="5">
        <f t="shared" si="178"/>
        <v>6.8671532846715326</v>
      </c>
      <c r="AL560" s="5">
        <f t="shared" si="179"/>
        <v>17.167883211678831</v>
      </c>
      <c r="AM560" s="5">
        <f t="shared" si="180"/>
        <v>0</v>
      </c>
      <c r="AN560" s="5">
        <f t="shared" si="181"/>
        <v>17.167883211678831</v>
      </c>
      <c r="AO560" s="1" t="s">
        <v>102</v>
      </c>
    </row>
    <row r="561" spans="1:41" x14ac:dyDescent="0.25">
      <c r="A561" s="1" t="s">
        <v>19</v>
      </c>
      <c r="B561" s="1" t="s">
        <v>37</v>
      </c>
      <c r="C561" s="1" t="s">
        <v>21</v>
      </c>
      <c r="D561" s="1" t="s">
        <v>38</v>
      </c>
      <c r="E561" s="1" t="s">
        <v>96</v>
      </c>
      <c r="F561" s="1" t="s">
        <v>103</v>
      </c>
      <c r="G561" s="1" t="s">
        <v>114</v>
      </c>
      <c r="H561" s="1" t="s">
        <v>574</v>
      </c>
      <c r="I561" s="1" t="s">
        <v>331</v>
      </c>
      <c r="J561" s="1" t="s">
        <v>101</v>
      </c>
      <c r="K561" s="1" t="s">
        <v>116</v>
      </c>
      <c r="L561" s="1">
        <v>2833543</v>
      </c>
      <c r="M561" s="1" t="s">
        <v>770</v>
      </c>
      <c r="N561" s="8">
        <f t="shared" ref="N561:N582" si="184">DATE(2022,1,31)</f>
        <v>44592</v>
      </c>
      <c r="O561" s="8">
        <f>DATE(2025,12,23)</f>
        <v>46014</v>
      </c>
      <c r="P561" s="1">
        <v>3672</v>
      </c>
      <c r="Q561" s="1">
        <v>1200</v>
      </c>
      <c r="R561" s="1">
        <f t="shared" si="164"/>
        <v>3200</v>
      </c>
      <c r="S561" s="1">
        <v>2.5</v>
      </c>
      <c r="U561" s="1">
        <f t="shared" si="165"/>
        <v>1423</v>
      </c>
      <c r="V561" s="7">
        <f t="shared" si="166"/>
        <v>2.2487702037947996</v>
      </c>
      <c r="W561" s="7">
        <f t="shared" si="167"/>
        <v>820.80112438510184</v>
      </c>
      <c r="X561" s="7">
        <f t="shared" si="168"/>
        <v>1.0260014054813773</v>
      </c>
      <c r="AA561" s="8">
        <f t="shared" si="169"/>
        <v>44927</v>
      </c>
      <c r="AB561" s="8">
        <f t="shared" si="170"/>
        <v>45291</v>
      </c>
      <c r="AC561" s="1">
        <v>38</v>
      </c>
      <c r="AD561" s="1">
        <f t="shared" si="171"/>
        <v>365</v>
      </c>
      <c r="AE561" s="1">
        <f t="shared" si="172"/>
        <v>0</v>
      </c>
      <c r="AF561" s="1">
        <f t="shared" si="173"/>
        <v>0</v>
      </c>
      <c r="AG561" s="1">
        <f t="shared" si="174"/>
        <v>0</v>
      </c>
      <c r="AH561" s="1">
        <f t="shared" si="175"/>
        <v>0</v>
      </c>
      <c r="AI561" s="5">
        <f t="shared" si="176"/>
        <v>1</v>
      </c>
      <c r="AJ561" s="5">
        <f t="shared" si="177"/>
        <v>1.0260014054813773</v>
      </c>
      <c r="AK561" s="5">
        <f t="shared" si="178"/>
        <v>38.988053408292338</v>
      </c>
      <c r="AL561" s="5">
        <f t="shared" si="179"/>
        <v>97.47013352073084</v>
      </c>
      <c r="AM561" s="5">
        <f t="shared" si="180"/>
        <v>0</v>
      </c>
      <c r="AN561" s="5">
        <f t="shared" si="181"/>
        <v>97.47013352073084</v>
      </c>
      <c r="AO561" s="1" t="s">
        <v>102</v>
      </c>
    </row>
    <row r="562" spans="1:41" x14ac:dyDescent="0.25">
      <c r="A562" s="1" t="s">
        <v>19</v>
      </c>
      <c r="B562" s="1" t="s">
        <v>37</v>
      </c>
      <c r="C562" s="1" t="s">
        <v>21</v>
      </c>
      <c r="D562" s="1" t="s">
        <v>38</v>
      </c>
      <c r="E562" s="1" t="s">
        <v>96</v>
      </c>
      <c r="F562" s="1" t="s">
        <v>103</v>
      </c>
      <c r="G562" s="1" t="s">
        <v>114</v>
      </c>
      <c r="H562" s="1" t="s">
        <v>569</v>
      </c>
      <c r="I562" s="1" t="s">
        <v>331</v>
      </c>
      <c r="J562" s="1" t="s">
        <v>101</v>
      </c>
      <c r="K562" s="1" t="s">
        <v>116</v>
      </c>
      <c r="L562" s="1">
        <v>2833546</v>
      </c>
      <c r="M562" s="1" t="s">
        <v>771</v>
      </c>
      <c r="N562" s="8">
        <f t="shared" si="184"/>
        <v>44592</v>
      </c>
      <c r="O562" s="8">
        <f>DATE(2025,12,23)</f>
        <v>46014</v>
      </c>
      <c r="P562" s="1">
        <v>3672</v>
      </c>
      <c r="Q562" s="1">
        <v>1200</v>
      </c>
      <c r="R562" s="1">
        <f t="shared" si="164"/>
        <v>3200</v>
      </c>
      <c r="S562" s="1">
        <v>2.5</v>
      </c>
      <c r="U562" s="1">
        <f t="shared" si="165"/>
        <v>1423</v>
      </c>
      <c r="V562" s="7">
        <f t="shared" si="166"/>
        <v>2.2487702037947996</v>
      </c>
      <c r="W562" s="7">
        <f t="shared" si="167"/>
        <v>820.80112438510184</v>
      </c>
      <c r="X562" s="7">
        <f t="shared" si="168"/>
        <v>1.0260014054813773</v>
      </c>
      <c r="AA562" s="8">
        <f t="shared" si="169"/>
        <v>44927</v>
      </c>
      <c r="AB562" s="8">
        <f t="shared" si="170"/>
        <v>45291</v>
      </c>
      <c r="AC562" s="1">
        <v>52</v>
      </c>
      <c r="AD562" s="1">
        <f t="shared" si="171"/>
        <v>365</v>
      </c>
      <c r="AE562" s="1">
        <f t="shared" si="172"/>
        <v>0</v>
      </c>
      <c r="AF562" s="1">
        <f t="shared" si="173"/>
        <v>0</v>
      </c>
      <c r="AG562" s="1">
        <f t="shared" si="174"/>
        <v>0</v>
      </c>
      <c r="AH562" s="1">
        <f t="shared" si="175"/>
        <v>0</v>
      </c>
      <c r="AI562" s="5">
        <f t="shared" si="176"/>
        <v>1</v>
      </c>
      <c r="AJ562" s="5">
        <f t="shared" si="177"/>
        <v>1.0260014054813773</v>
      </c>
      <c r="AK562" s="5">
        <f t="shared" si="178"/>
        <v>53.35207308503162</v>
      </c>
      <c r="AL562" s="5">
        <f t="shared" si="179"/>
        <v>133.38018271257906</v>
      </c>
      <c r="AM562" s="5">
        <f t="shared" si="180"/>
        <v>0</v>
      </c>
      <c r="AN562" s="5">
        <f t="shared" si="181"/>
        <v>133.38018271257906</v>
      </c>
      <c r="AO562" s="1" t="s">
        <v>102</v>
      </c>
    </row>
    <row r="563" spans="1:41" x14ac:dyDescent="0.25">
      <c r="A563" s="1" t="s">
        <v>19</v>
      </c>
      <c r="B563" s="1" t="s">
        <v>37</v>
      </c>
      <c r="C563" s="1" t="s">
        <v>21</v>
      </c>
      <c r="D563" s="1" t="s">
        <v>38</v>
      </c>
      <c r="E563" s="1" t="s">
        <v>96</v>
      </c>
      <c r="F563" s="1" t="s">
        <v>103</v>
      </c>
      <c r="G563" s="1" t="s">
        <v>114</v>
      </c>
      <c r="H563" s="1" t="s">
        <v>590</v>
      </c>
      <c r="I563" s="1" t="s">
        <v>210</v>
      </c>
      <c r="J563" s="1" t="s">
        <v>101</v>
      </c>
      <c r="K563" s="1" t="s">
        <v>116</v>
      </c>
      <c r="L563" s="1">
        <v>2833556</v>
      </c>
      <c r="M563" s="1" t="s">
        <v>772</v>
      </c>
      <c r="N563" s="8">
        <f t="shared" si="184"/>
        <v>44592</v>
      </c>
      <c r="O563" s="8">
        <f>DATE(2024,12,23)</f>
        <v>45649</v>
      </c>
      <c r="P563" s="1">
        <v>3332</v>
      </c>
      <c r="Q563" s="1">
        <v>1200</v>
      </c>
      <c r="R563" s="1">
        <f t="shared" si="164"/>
        <v>3200</v>
      </c>
      <c r="S563" s="1">
        <v>2.5</v>
      </c>
      <c r="U563" s="1">
        <f t="shared" si="165"/>
        <v>1058</v>
      </c>
      <c r="V563" s="7">
        <f t="shared" si="166"/>
        <v>3.0245746691871456</v>
      </c>
      <c r="W563" s="7">
        <f t="shared" si="167"/>
        <v>1103.9697542533081</v>
      </c>
      <c r="X563" s="7">
        <f t="shared" si="168"/>
        <v>1.3799621928166352</v>
      </c>
      <c r="AA563" s="8">
        <f t="shared" si="169"/>
        <v>44927</v>
      </c>
      <c r="AB563" s="8">
        <f t="shared" si="170"/>
        <v>45291</v>
      </c>
      <c r="AC563" s="1">
        <v>58</v>
      </c>
      <c r="AD563" s="1">
        <f t="shared" si="171"/>
        <v>365</v>
      </c>
      <c r="AE563" s="1">
        <f t="shared" si="172"/>
        <v>0</v>
      </c>
      <c r="AF563" s="1">
        <f t="shared" si="173"/>
        <v>0</v>
      </c>
      <c r="AG563" s="1">
        <f t="shared" si="174"/>
        <v>0</v>
      </c>
      <c r="AH563" s="1">
        <f t="shared" si="175"/>
        <v>0</v>
      </c>
      <c r="AI563" s="5">
        <f t="shared" si="176"/>
        <v>1</v>
      </c>
      <c r="AJ563" s="5">
        <f t="shared" si="177"/>
        <v>1.3799621928166352</v>
      </c>
      <c r="AK563" s="5">
        <f t="shared" si="178"/>
        <v>80.037807183364848</v>
      </c>
      <c r="AL563" s="5">
        <f t="shared" si="179"/>
        <v>200.09451795841213</v>
      </c>
      <c r="AM563" s="5">
        <f t="shared" si="180"/>
        <v>0</v>
      </c>
      <c r="AN563" s="5">
        <f t="shared" si="181"/>
        <v>200.09451795841213</v>
      </c>
      <c r="AO563" s="1" t="s">
        <v>102</v>
      </c>
    </row>
    <row r="564" spans="1:41" x14ac:dyDescent="0.25">
      <c r="A564" s="1" t="s">
        <v>19</v>
      </c>
      <c r="B564" s="1" t="s">
        <v>37</v>
      </c>
      <c r="C564" s="1" t="s">
        <v>21</v>
      </c>
      <c r="D564" s="1" t="s">
        <v>38</v>
      </c>
      <c r="E564" s="1" t="s">
        <v>96</v>
      </c>
      <c r="F564" s="1" t="s">
        <v>103</v>
      </c>
      <c r="G564" s="1" t="s">
        <v>114</v>
      </c>
      <c r="H564" s="1" t="s">
        <v>592</v>
      </c>
      <c r="I564" s="1" t="s">
        <v>210</v>
      </c>
      <c r="J564" s="1" t="s">
        <v>101</v>
      </c>
      <c r="K564" s="1" t="s">
        <v>116</v>
      </c>
      <c r="L564" s="1">
        <v>2833559</v>
      </c>
      <c r="M564" s="1" t="s">
        <v>773</v>
      </c>
      <c r="N564" s="8">
        <f t="shared" si="184"/>
        <v>44592</v>
      </c>
      <c r="O564" s="8">
        <f>DATE(2024,12,23)</f>
        <v>45649</v>
      </c>
      <c r="P564" s="1">
        <v>3332</v>
      </c>
      <c r="Q564" s="1">
        <v>1200</v>
      </c>
      <c r="R564" s="1">
        <f t="shared" si="164"/>
        <v>3200</v>
      </c>
      <c r="S564" s="1">
        <v>2.5</v>
      </c>
      <c r="U564" s="1">
        <f t="shared" si="165"/>
        <v>1058</v>
      </c>
      <c r="V564" s="7">
        <f t="shared" si="166"/>
        <v>3.0245746691871456</v>
      </c>
      <c r="W564" s="7">
        <f t="shared" si="167"/>
        <v>1103.9697542533081</v>
      </c>
      <c r="X564" s="7">
        <f t="shared" si="168"/>
        <v>1.3799621928166352</v>
      </c>
      <c r="AA564" s="8">
        <f t="shared" si="169"/>
        <v>44927</v>
      </c>
      <c r="AB564" s="8">
        <f t="shared" si="170"/>
        <v>45291</v>
      </c>
      <c r="AC564" s="1">
        <v>58</v>
      </c>
      <c r="AD564" s="1">
        <f t="shared" si="171"/>
        <v>365</v>
      </c>
      <c r="AE564" s="1">
        <f t="shared" si="172"/>
        <v>0</v>
      </c>
      <c r="AF564" s="1">
        <f t="shared" si="173"/>
        <v>0</v>
      </c>
      <c r="AG564" s="1">
        <f t="shared" si="174"/>
        <v>0</v>
      </c>
      <c r="AH564" s="1">
        <f t="shared" si="175"/>
        <v>0</v>
      </c>
      <c r="AI564" s="5">
        <f t="shared" si="176"/>
        <v>1</v>
      </c>
      <c r="AJ564" s="5">
        <f t="shared" si="177"/>
        <v>1.3799621928166352</v>
      </c>
      <c r="AK564" s="5">
        <f t="shared" si="178"/>
        <v>80.037807183364848</v>
      </c>
      <c r="AL564" s="5">
        <f t="shared" si="179"/>
        <v>200.09451795841213</v>
      </c>
      <c r="AM564" s="5">
        <f t="shared" si="180"/>
        <v>0</v>
      </c>
      <c r="AN564" s="5">
        <f t="shared" si="181"/>
        <v>200.09451795841213</v>
      </c>
      <c r="AO564" s="1" t="s">
        <v>102</v>
      </c>
    </row>
    <row r="565" spans="1:41" x14ac:dyDescent="0.25">
      <c r="A565" s="1" t="s">
        <v>19</v>
      </c>
      <c r="B565" s="1" t="s">
        <v>37</v>
      </c>
      <c r="C565" s="1" t="s">
        <v>21</v>
      </c>
      <c r="D565" s="1" t="s">
        <v>38</v>
      </c>
      <c r="E565" s="1" t="s">
        <v>96</v>
      </c>
      <c r="F565" s="1" t="s">
        <v>103</v>
      </c>
      <c r="G565" s="1" t="s">
        <v>114</v>
      </c>
      <c r="H565" s="1" t="s">
        <v>577</v>
      </c>
      <c r="I565" s="1" t="s">
        <v>336</v>
      </c>
      <c r="J565" s="1" t="s">
        <v>101</v>
      </c>
      <c r="K565" s="1" t="s">
        <v>116</v>
      </c>
      <c r="L565" s="1">
        <v>2833560</v>
      </c>
      <c r="M565" s="1" t="s">
        <v>774</v>
      </c>
      <c r="N565" s="8">
        <f t="shared" si="184"/>
        <v>44592</v>
      </c>
      <c r="O565" s="8">
        <f>DATE(2024,12,23)</f>
        <v>45649</v>
      </c>
      <c r="P565" s="1">
        <v>3060</v>
      </c>
      <c r="Q565" s="1">
        <v>800</v>
      </c>
      <c r="R565" s="1">
        <f t="shared" si="164"/>
        <v>3000</v>
      </c>
      <c r="S565" s="1">
        <v>1.5</v>
      </c>
      <c r="U565" s="1">
        <f t="shared" si="165"/>
        <v>1058</v>
      </c>
      <c r="V565" s="7">
        <f t="shared" si="166"/>
        <v>2.8355387523629489</v>
      </c>
      <c r="W565" s="7">
        <f t="shared" si="167"/>
        <v>1034.9716446124764</v>
      </c>
      <c r="X565" s="7">
        <f t="shared" si="168"/>
        <v>1.2937145557655956</v>
      </c>
      <c r="AA565" s="8">
        <f t="shared" si="169"/>
        <v>44927</v>
      </c>
      <c r="AB565" s="8">
        <f t="shared" si="170"/>
        <v>45291</v>
      </c>
      <c r="AC565" s="1">
        <v>74</v>
      </c>
      <c r="AD565" s="1">
        <f t="shared" si="171"/>
        <v>365</v>
      </c>
      <c r="AE565" s="1">
        <f t="shared" si="172"/>
        <v>0</v>
      </c>
      <c r="AF565" s="1">
        <f t="shared" si="173"/>
        <v>0</v>
      </c>
      <c r="AG565" s="1">
        <f t="shared" si="174"/>
        <v>0</v>
      </c>
      <c r="AH565" s="1">
        <f t="shared" si="175"/>
        <v>0</v>
      </c>
      <c r="AI565" s="5">
        <f t="shared" si="176"/>
        <v>1</v>
      </c>
      <c r="AJ565" s="5">
        <f t="shared" si="177"/>
        <v>1.2937145557655956</v>
      </c>
      <c r="AK565" s="5">
        <f t="shared" si="178"/>
        <v>95.734877126654069</v>
      </c>
      <c r="AL565" s="5">
        <f t="shared" si="179"/>
        <v>143.60231568998111</v>
      </c>
      <c r="AM565" s="5">
        <f t="shared" si="180"/>
        <v>0</v>
      </c>
      <c r="AN565" s="5">
        <f t="shared" si="181"/>
        <v>143.60231568998111</v>
      </c>
      <c r="AO565" s="1" t="s">
        <v>102</v>
      </c>
    </row>
    <row r="566" spans="1:41" x14ac:dyDescent="0.25">
      <c r="A566" s="1" t="s">
        <v>19</v>
      </c>
      <c r="B566" s="1" t="s">
        <v>37</v>
      </c>
      <c r="C566" s="1" t="s">
        <v>21</v>
      </c>
      <c r="D566" s="1" t="s">
        <v>38</v>
      </c>
      <c r="E566" s="1" t="s">
        <v>96</v>
      </c>
      <c r="F566" s="1" t="s">
        <v>103</v>
      </c>
      <c r="G566" s="1" t="s">
        <v>114</v>
      </c>
      <c r="H566" s="1" t="s">
        <v>247</v>
      </c>
      <c r="I566" s="1" t="s">
        <v>162</v>
      </c>
      <c r="J566" s="1" t="s">
        <v>101</v>
      </c>
      <c r="K566" s="1" t="s">
        <v>116</v>
      </c>
      <c r="L566" s="1">
        <v>2833561</v>
      </c>
      <c r="M566" s="1" t="s">
        <v>775</v>
      </c>
      <c r="N566" s="8">
        <f t="shared" si="184"/>
        <v>44592</v>
      </c>
      <c r="O566" s="8">
        <f>DATE(2024,12,23)</f>
        <v>45649</v>
      </c>
      <c r="P566" s="1">
        <v>3740</v>
      </c>
      <c r="Q566" s="1">
        <v>1200</v>
      </c>
      <c r="R566" s="1">
        <f t="shared" si="164"/>
        <v>3200</v>
      </c>
      <c r="S566" s="1">
        <v>1.5</v>
      </c>
      <c r="U566" s="1">
        <f t="shared" si="165"/>
        <v>1058</v>
      </c>
      <c r="V566" s="7">
        <f t="shared" si="166"/>
        <v>3.0245746691871456</v>
      </c>
      <c r="W566" s="7">
        <f t="shared" si="167"/>
        <v>1103.9697542533081</v>
      </c>
      <c r="X566" s="7">
        <f t="shared" si="168"/>
        <v>1.3799621928166352</v>
      </c>
      <c r="AA566" s="8">
        <f t="shared" si="169"/>
        <v>44927</v>
      </c>
      <c r="AB566" s="8">
        <f t="shared" si="170"/>
        <v>45291</v>
      </c>
      <c r="AC566" s="1">
        <v>68</v>
      </c>
      <c r="AD566" s="1">
        <f t="shared" si="171"/>
        <v>365</v>
      </c>
      <c r="AE566" s="1">
        <f t="shared" si="172"/>
        <v>0</v>
      </c>
      <c r="AF566" s="1">
        <f t="shared" si="173"/>
        <v>0</v>
      </c>
      <c r="AG566" s="1">
        <f t="shared" si="174"/>
        <v>0</v>
      </c>
      <c r="AH566" s="1">
        <f t="shared" si="175"/>
        <v>0</v>
      </c>
      <c r="AI566" s="5">
        <f t="shared" si="176"/>
        <v>1</v>
      </c>
      <c r="AJ566" s="5">
        <f t="shared" si="177"/>
        <v>1.3799621928166352</v>
      </c>
      <c r="AK566" s="5">
        <f t="shared" si="178"/>
        <v>93.837429111531193</v>
      </c>
      <c r="AL566" s="5">
        <f t="shared" si="179"/>
        <v>140.75614366729678</v>
      </c>
      <c r="AM566" s="5">
        <f t="shared" si="180"/>
        <v>0</v>
      </c>
      <c r="AN566" s="5">
        <f t="shared" si="181"/>
        <v>140.75614366729678</v>
      </c>
      <c r="AO566" s="1" t="s">
        <v>102</v>
      </c>
    </row>
    <row r="567" spans="1:41" x14ac:dyDescent="0.25">
      <c r="A567" s="1" t="s">
        <v>19</v>
      </c>
      <c r="B567" s="1" t="s">
        <v>37</v>
      </c>
      <c r="C567" s="1" t="s">
        <v>21</v>
      </c>
      <c r="D567" s="1" t="s">
        <v>38</v>
      </c>
      <c r="E567" s="1" t="s">
        <v>96</v>
      </c>
      <c r="F567" s="1" t="s">
        <v>103</v>
      </c>
      <c r="G567" s="1" t="s">
        <v>114</v>
      </c>
      <c r="H567" s="1" t="s">
        <v>260</v>
      </c>
      <c r="I567" s="1" t="s">
        <v>100</v>
      </c>
      <c r="J567" s="1" t="s">
        <v>101</v>
      </c>
      <c r="K567" s="1" t="s">
        <v>116</v>
      </c>
      <c r="L567" s="1">
        <v>2833562</v>
      </c>
      <c r="M567" s="1" t="s">
        <v>776</v>
      </c>
      <c r="N567" s="8">
        <f t="shared" si="184"/>
        <v>44592</v>
      </c>
      <c r="O567" s="8">
        <f>DATE(2024,12,23)</f>
        <v>45649</v>
      </c>
      <c r="P567" s="1">
        <v>3573</v>
      </c>
      <c r="Q567" s="1">
        <v>800</v>
      </c>
      <c r="R567" s="1">
        <f t="shared" si="164"/>
        <v>3000</v>
      </c>
      <c r="S567" s="1">
        <v>1.5</v>
      </c>
      <c r="U567" s="1">
        <f t="shared" si="165"/>
        <v>1058</v>
      </c>
      <c r="V567" s="7">
        <f t="shared" si="166"/>
        <v>2.8355387523629489</v>
      </c>
      <c r="W567" s="7">
        <f t="shared" si="167"/>
        <v>1034.9716446124764</v>
      </c>
      <c r="X567" s="7">
        <f t="shared" si="168"/>
        <v>1.2937145557655956</v>
      </c>
      <c r="AA567" s="8">
        <f t="shared" si="169"/>
        <v>44927</v>
      </c>
      <c r="AB567" s="8">
        <f t="shared" si="170"/>
        <v>45291</v>
      </c>
      <c r="AC567" s="1">
        <v>72</v>
      </c>
      <c r="AD567" s="1">
        <f t="shared" si="171"/>
        <v>365</v>
      </c>
      <c r="AE567" s="1">
        <f t="shared" si="172"/>
        <v>0</v>
      </c>
      <c r="AF567" s="1">
        <f t="shared" si="173"/>
        <v>0</v>
      </c>
      <c r="AG567" s="1">
        <f t="shared" si="174"/>
        <v>0</v>
      </c>
      <c r="AH567" s="1">
        <f t="shared" si="175"/>
        <v>0</v>
      </c>
      <c r="AI567" s="5">
        <f t="shared" si="176"/>
        <v>1</v>
      </c>
      <c r="AJ567" s="5">
        <f t="shared" si="177"/>
        <v>1.2937145557655956</v>
      </c>
      <c r="AK567" s="5">
        <f t="shared" si="178"/>
        <v>93.147448015122876</v>
      </c>
      <c r="AL567" s="5">
        <f t="shared" si="179"/>
        <v>139.7211720226843</v>
      </c>
      <c r="AM567" s="5">
        <f t="shared" si="180"/>
        <v>0</v>
      </c>
      <c r="AN567" s="5">
        <f t="shared" si="181"/>
        <v>139.7211720226843</v>
      </c>
      <c r="AO567" s="1" t="s">
        <v>102</v>
      </c>
    </row>
    <row r="568" spans="1:41" x14ac:dyDescent="0.25">
      <c r="A568" s="1" t="s">
        <v>19</v>
      </c>
      <c r="B568" s="1" t="s">
        <v>37</v>
      </c>
      <c r="C568" s="1" t="s">
        <v>21</v>
      </c>
      <c r="D568" s="1" t="s">
        <v>38</v>
      </c>
      <c r="E568" s="1" t="s">
        <v>96</v>
      </c>
      <c r="F568" s="1" t="s">
        <v>103</v>
      </c>
      <c r="G568" s="1" t="s">
        <v>114</v>
      </c>
      <c r="H568" s="1" t="s">
        <v>574</v>
      </c>
      <c r="I568" s="1" t="s">
        <v>331</v>
      </c>
      <c r="J568" s="1" t="s">
        <v>101</v>
      </c>
      <c r="K568" s="1" t="s">
        <v>175</v>
      </c>
      <c r="L568" s="1">
        <v>2833563</v>
      </c>
      <c r="M568" s="1" t="s">
        <v>777</v>
      </c>
      <c r="N568" s="8">
        <f t="shared" si="184"/>
        <v>44592</v>
      </c>
      <c r="O568" s="8">
        <f>DATE(2023,12,23)</f>
        <v>45283</v>
      </c>
      <c r="P568" s="1">
        <v>1258</v>
      </c>
      <c r="Q568" s="1">
        <v>1200</v>
      </c>
      <c r="R568" s="1">
        <f t="shared" si="164"/>
        <v>1200</v>
      </c>
      <c r="S568" s="1">
        <v>2.5</v>
      </c>
      <c r="U568" s="1">
        <f t="shared" si="165"/>
        <v>692</v>
      </c>
      <c r="V568" s="7">
        <f t="shared" si="166"/>
        <v>1.7341040462427746</v>
      </c>
      <c r="W568" s="7">
        <f t="shared" si="167"/>
        <v>632.94797687861274</v>
      </c>
      <c r="X568" s="7">
        <f t="shared" si="168"/>
        <v>0.79118497109826591</v>
      </c>
      <c r="AA568" s="8">
        <f t="shared" si="169"/>
        <v>44927</v>
      </c>
      <c r="AB568" s="8">
        <f t="shared" si="170"/>
        <v>45291</v>
      </c>
      <c r="AC568" s="1">
        <v>18</v>
      </c>
      <c r="AD568" s="1">
        <f t="shared" si="171"/>
        <v>0</v>
      </c>
      <c r="AE568" s="1">
        <f t="shared" si="172"/>
        <v>0</v>
      </c>
      <c r="AF568" s="1">
        <f t="shared" si="173"/>
        <v>357</v>
      </c>
      <c r="AG568" s="1">
        <f t="shared" si="174"/>
        <v>0</v>
      </c>
      <c r="AH568" s="1">
        <f t="shared" si="175"/>
        <v>0</v>
      </c>
      <c r="AI568" s="5">
        <f t="shared" si="176"/>
        <v>0.9780821917808219</v>
      </c>
      <c r="AJ568" s="5">
        <f t="shared" si="177"/>
        <v>0.77384393063583812</v>
      </c>
      <c r="AK568" s="5">
        <f t="shared" si="178"/>
        <v>13.929190751445086</v>
      </c>
      <c r="AL568" s="5">
        <f t="shared" si="179"/>
        <v>34.822976878612714</v>
      </c>
      <c r="AM568" s="5">
        <f t="shared" si="180"/>
        <v>0</v>
      </c>
      <c r="AN568" s="5">
        <f t="shared" si="181"/>
        <v>34.822976878612714</v>
      </c>
      <c r="AO568" s="1" t="s">
        <v>102</v>
      </c>
    </row>
    <row r="569" spans="1:41" x14ac:dyDescent="0.25">
      <c r="A569" s="1" t="s">
        <v>19</v>
      </c>
      <c r="B569" s="1" t="s">
        <v>37</v>
      </c>
      <c r="C569" s="1" t="s">
        <v>21</v>
      </c>
      <c r="D569" s="1" t="s">
        <v>38</v>
      </c>
      <c r="E569" s="1" t="s">
        <v>96</v>
      </c>
      <c r="F569" s="1" t="s">
        <v>103</v>
      </c>
      <c r="G569" s="1" t="s">
        <v>114</v>
      </c>
      <c r="H569" s="1" t="s">
        <v>569</v>
      </c>
      <c r="I569" s="1" t="s">
        <v>331</v>
      </c>
      <c r="J569" s="1" t="s">
        <v>101</v>
      </c>
      <c r="K569" s="1" t="s">
        <v>175</v>
      </c>
      <c r="L569" s="1">
        <v>2833564</v>
      </c>
      <c r="M569" s="1" t="s">
        <v>778</v>
      </c>
      <c r="N569" s="8">
        <f t="shared" si="184"/>
        <v>44592</v>
      </c>
      <c r="O569" s="8">
        <f>DATE(2023,12,23)</f>
        <v>45283</v>
      </c>
      <c r="P569" s="1">
        <v>1394</v>
      </c>
      <c r="Q569" s="1">
        <v>1200</v>
      </c>
      <c r="R569" s="1">
        <f t="shared" si="164"/>
        <v>1200</v>
      </c>
      <c r="S569" s="1">
        <v>2.5</v>
      </c>
      <c r="U569" s="1">
        <f t="shared" si="165"/>
        <v>692</v>
      </c>
      <c r="V569" s="7">
        <f t="shared" si="166"/>
        <v>1.7341040462427746</v>
      </c>
      <c r="W569" s="7">
        <f t="shared" si="167"/>
        <v>632.94797687861274</v>
      </c>
      <c r="X569" s="7">
        <f t="shared" si="168"/>
        <v>0.79118497109826591</v>
      </c>
      <c r="AA569" s="8">
        <f t="shared" si="169"/>
        <v>44927</v>
      </c>
      <c r="AB569" s="8">
        <f t="shared" si="170"/>
        <v>45291</v>
      </c>
      <c r="AC569" s="1">
        <v>14</v>
      </c>
      <c r="AD569" s="1">
        <f t="shared" si="171"/>
        <v>0</v>
      </c>
      <c r="AE569" s="1">
        <f t="shared" si="172"/>
        <v>0</v>
      </c>
      <c r="AF569" s="1">
        <f t="shared" si="173"/>
        <v>357</v>
      </c>
      <c r="AG569" s="1">
        <f t="shared" si="174"/>
        <v>0</v>
      </c>
      <c r="AH569" s="1">
        <f t="shared" si="175"/>
        <v>0</v>
      </c>
      <c r="AI569" s="5">
        <f t="shared" si="176"/>
        <v>0.9780821917808219</v>
      </c>
      <c r="AJ569" s="5">
        <f t="shared" si="177"/>
        <v>0.77384393063583812</v>
      </c>
      <c r="AK569" s="5">
        <f t="shared" si="178"/>
        <v>10.833815028901734</v>
      </c>
      <c r="AL569" s="5">
        <f t="shared" si="179"/>
        <v>27.084537572254334</v>
      </c>
      <c r="AM569" s="5">
        <f t="shared" si="180"/>
        <v>0</v>
      </c>
      <c r="AN569" s="5">
        <f t="shared" si="181"/>
        <v>27.084537572254334</v>
      </c>
      <c r="AO569" s="1" t="s">
        <v>102</v>
      </c>
    </row>
    <row r="570" spans="1:41" x14ac:dyDescent="0.25">
      <c r="A570" s="1" t="s">
        <v>19</v>
      </c>
      <c r="B570" s="1" t="s">
        <v>37</v>
      </c>
      <c r="C570" s="1" t="s">
        <v>21</v>
      </c>
      <c r="D570" s="1" t="s">
        <v>38</v>
      </c>
      <c r="E570" s="1" t="s">
        <v>96</v>
      </c>
      <c r="F570" s="1" t="s">
        <v>103</v>
      </c>
      <c r="G570" s="1" t="s">
        <v>114</v>
      </c>
      <c r="H570" s="1" t="s">
        <v>590</v>
      </c>
      <c r="I570" s="1" t="s">
        <v>210</v>
      </c>
      <c r="J570" s="1" t="s">
        <v>101</v>
      </c>
      <c r="K570" s="1" t="s">
        <v>175</v>
      </c>
      <c r="L570" s="1">
        <v>2833565</v>
      </c>
      <c r="M570" s="1" t="s">
        <v>779</v>
      </c>
      <c r="N570" s="8">
        <f t="shared" si="184"/>
        <v>44592</v>
      </c>
      <c r="O570" s="8">
        <f>DATE(2023,12,23)</f>
        <v>45283</v>
      </c>
      <c r="P570" s="1">
        <v>1703</v>
      </c>
      <c r="Q570" s="1">
        <v>1200</v>
      </c>
      <c r="R570" s="1">
        <f t="shared" si="164"/>
        <v>1200</v>
      </c>
      <c r="S570" s="1">
        <v>2.5</v>
      </c>
      <c r="U570" s="1">
        <f t="shared" si="165"/>
        <v>692</v>
      </c>
      <c r="V570" s="7">
        <f t="shared" si="166"/>
        <v>1.7341040462427746</v>
      </c>
      <c r="W570" s="7">
        <f t="shared" si="167"/>
        <v>632.94797687861274</v>
      </c>
      <c r="X570" s="7">
        <f t="shared" si="168"/>
        <v>0.79118497109826591</v>
      </c>
      <c r="AA570" s="8">
        <f t="shared" si="169"/>
        <v>44927</v>
      </c>
      <c r="AB570" s="8">
        <f t="shared" si="170"/>
        <v>45291</v>
      </c>
      <c r="AC570" s="1">
        <v>12</v>
      </c>
      <c r="AD570" s="1">
        <f t="shared" si="171"/>
        <v>0</v>
      </c>
      <c r="AE570" s="1">
        <f t="shared" si="172"/>
        <v>0</v>
      </c>
      <c r="AF570" s="1">
        <f t="shared" si="173"/>
        <v>357</v>
      </c>
      <c r="AG570" s="1">
        <f t="shared" si="174"/>
        <v>0</v>
      </c>
      <c r="AH570" s="1">
        <f t="shared" si="175"/>
        <v>0</v>
      </c>
      <c r="AI570" s="5">
        <f t="shared" si="176"/>
        <v>0.9780821917808219</v>
      </c>
      <c r="AJ570" s="5">
        <f t="shared" si="177"/>
        <v>0.77384393063583812</v>
      </c>
      <c r="AK570" s="5">
        <f t="shared" si="178"/>
        <v>9.2861271676300579</v>
      </c>
      <c r="AL570" s="5">
        <f t="shared" si="179"/>
        <v>23.215317919075144</v>
      </c>
      <c r="AM570" s="5">
        <f t="shared" si="180"/>
        <v>0</v>
      </c>
      <c r="AN570" s="5">
        <f t="shared" si="181"/>
        <v>23.215317919075144</v>
      </c>
      <c r="AO570" s="1" t="s">
        <v>102</v>
      </c>
    </row>
    <row r="571" spans="1:41" x14ac:dyDescent="0.25">
      <c r="A571" s="1" t="s">
        <v>19</v>
      </c>
      <c r="B571" s="1" t="s">
        <v>37</v>
      </c>
      <c r="C571" s="1" t="s">
        <v>21</v>
      </c>
      <c r="D571" s="1" t="s">
        <v>38</v>
      </c>
      <c r="E571" s="1" t="s">
        <v>96</v>
      </c>
      <c r="F571" s="1" t="s">
        <v>103</v>
      </c>
      <c r="G571" s="1" t="s">
        <v>114</v>
      </c>
      <c r="H571" s="1" t="s">
        <v>592</v>
      </c>
      <c r="I571" s="1" t="s">
        <v>210</v>
      </c>
      <c r="J571" s="1" t="s">
        <v>101</v>
      </c>
      <c r="K571" s="1" t="s">
        <v>175</v>
      </c>
      <c r="L571" s="1">
        <v>2833568</v>
      </c>
      <c r="M571" s="1" t="s">
        <v>780</v>
      </c>
      <c r="N571" s="8">
        <f t="shared" si="184"/>
        <v>44592</v>
      </c>
      <c r="O571" s="8">
        <f>DATE(2023,12,23)</f>
        <v>45283</v>
      </c>
      <c r="P571" s="1">
        <v>1707</v>
      </c>
      <c r="Q571" s="1">
        <v>1200</v>
      </c>
      <c r="R571" s="1">
        <f t="shared" si="164"/>
        <v>1200</v>
      </c>
      <c r="S571" s="1">
        <v>2.5</v>
      </c>
      <c r="U571" s="1">
        <f t="shared" si="165"/>
        <v>692</v>
      </c>
      <c r="V571" s="7">
        <f t="shared" si="166"/>
        <v>1.7341040462427746</v>
      </c>
      <c r="W571" s="7">
        <f t="shared" si="167"/>
        <v>632.94797687861274</v>
      </c>
      <c r="X571" s="7">
        <f t="shared" si="168"/>
        <v>0.79118497109826591</v>
      </c>
      <c r="AA571" s="8">
        <f t="shared" si="169"/>
        <v>44927</v>
      </c>
      <c r="AB571" s="8">
        <f t="shared" si="170"/>
        <v>45291</v>
      </c>
      <c r="AC571" s="1">
        <v>11</v>
      </c>
      <c r="AD571" s="1">
        <f t="shared" si="171"/>
        <v>0</v>
      </c>
      <c r="AE571" s="1">
        <f t="shared" si="172"/>
        <v>0</v>
      </c>
      <c r="AF571" s="1">
        <f t="shared" si="173"/>
        <v>357</v>
      </c>
      <c r="AG571" s="1">
        <f t="shared" si="174"/>
        <v>0</v>
      </c>
      <c r="AH571" s="1">
        <f t="shared" si="175"/>
        <v>0</v>
      </c>
      <c r="AI571" s="5">
        <f t="shared" si="176"/>
        <v>0.9780821917808219</v>
      </c>
      <c r="AJ571" s="5">
        <f t="shared" si="177"/>
        <v>0.77384393063583812</v>
      </c>
      <c r="AK571" s="5">
        <f t="shared" si="178"/>
        <v>8.5122832369942198</v>
      </c>
      <c r="AL571" s="5">
        <f t="shared" si="179"/>
        <v>21.280708092485551</v>
      </c>
      <c r="AM571" s="5">
        <f t="shared" si="180"/>
        <v>0</v>
      </c>
      <c r="AN571" s="5">
        <f t="shared" si="181"/>
        <v>21.280708092485551</v>
      </c>
      <c r="AO571" s="1" t="s">
        <v>102</v>
      </c>
    </row>
    <row r="572" spans="1:41" x14ac:dyDescent="0.25">
      <c r="A572" s="1" t="s">
        <v>19</v>
      </c>
      <c r="B572" s="1" t="s">
        <v>37</v>
      </c>
      <c r="C572" s="1" t="s">
        <v>21</v>
      </c>
      <c r="D572" s="1" t="s">
        <v>38</v>
      </c>
      <c r="E572" s="1" t="s">
        <v>96</v>
      </c>
      <c r="F572" s="1" t="s">
        <v>103</v>
      </c>
      <c r="G572" s="1" t="s">
        <v>127</v>
      </c>
      <c r="H572" s="1" t="s">
        <v>525</v>
      </c>
      <c r="I572" s="1" t="s">
        <v>331</v>
      </c>
      <c r="J572" s="1" t="s">
        <v>101</v>
      </c>
      <c r="L572" s="1">
        <v>2833585</v>
      </c>
      <c r="M572" s="1" t="s">
        <v>781</v>
      </c>
      <c r="N572" s="8">
        <f t="shared" si="184"/>
        <v>44592</v>
      </c>
      <c r="O572" s="8">
        <f>DATE(2025,8,26)</f>
        <v>45895</v>
      </c>
      <c r="P572" s="1">
        <v>2648</v>
      </c>
      <c r="Q572" s="1">
        <v>2400</v>
      </c>
      <c r="R572" s="1">
        <f t="shared" ref="R572:R635" si="185">IF(OR(G572="QUALIFICACAO PROFISSIONAL (FIC)",G572="DOUTORADO"),P572,
    IF(ISNUMBER(FIND("PROEJA",K572)),2400,
        IF(K572="INTEGRADO",
            IF(Q572=800,3000,
                IF(Q572=1000,3100,
                    IF(Q572=1200,3200,Q572)
                )
            ),
            Q572
        )
    )
)</f>
        <v>2400</v>
      </c>
      <c r="S572" s="1">
        <v>2.5</v>
      </c>
      <c r="U572" s="1">
        <f t="shared" ref="U572:U635" si="186">O572-N572+1</f>
        <v>1304</v>
      </c>
      <c r="V572" s="7">
        <f t="shared" ref="V572:V635" si="187">IF(R572&gt;P572,P572,R572)/U572</f>
        <v>1.8404907975460123</v>
      </c>
      <c r="W572" s="7">
        <f t="shared" ref="W572:W635" si="188">IF(U572&gt;365,V572*365,R572)</f>
        <v>671.77914110429447</v>
      </c>
      <c r="X572" s="7">
        <f t="shared" ref="X572:X635" si="189">IF(U572&gt;365,W572/800,R572/800)</f>
        <v>0.83972392638036808</v>
      </c>
      <c r="AA572" s="8">
        <f t="shared" ref="AA572:AA635" si="190">DATE(2023,1,1)</f>
        <v>44927</v>
      </c>
      <c r="AB572" s="8">
        <f t="shared" ref="AB572:AB635" si="191">DATE(2023,12,31)</f>
        <v>45291</v>
      </c>
      <c r="AC572" s="1">
        <v>3</v>
      </c>
      <c r="AD572" s="1">
        <f t="shared" ref="AD572:AD635" si="192">IF(AND(N572&lt;AA572,O572&gt;AB572),AB572-AA572+1,0)</f>
        <v>365</v>
      </c>
      <c r="AE572" s="1">
        <f t="shared" ref="AE572:AE635" si="193">IF(AND(N572&gt;=AA572,O572&gt;AB572,N572&lt;AB572),AB572-N572+1,0)</f>
        <v>0</v>
      </c>
      <c r="AF572" s="1">
        <f t="shared" ref="AF572:AF635" si="194">IF(AND(N572&lt;AA572,O572&lt;=AB572,O572&gt;=AA572),O572-AA572+1,0)</f>
        <v>0</v>
      </c>
      <c r="AG572" s="1">
        <f t="shared" ref="AG572:AG635" si="195">IF(AND(N572&gt;=AA572,O572&lt;=AB572),O572-N572+1,0)</f>
        <v>0</v>
      </c>
      <c r="AH572" s="1">
        <f t="shared" ref="AH572:AH635" si="196">IF(AND(N572&lt;AA572,O572&lt;AA572),(AB572-AA572+1)/2,0)</f>
        <v>0</v>
      </c>
      <c r="AI572" s="5">
        <f t="shared" ref="AI572:AI635" si="197">SUM(AD572:AH572)/IF(U572&gt;=365,AB572-AA572+1,U572)</f>
        <v>1</v>
      </c>
      <c r="AJ572" s="5">
        <f t="shared" ref="AJ572:AJ635" si="198">X572*AI572</f>
        <v>0.83972392638036808</v>
      </c>
      <c r="AK572" s="5">
        <f t="shared" ref="AK572:AK635" si="199">IF(AH572=0,AJ572*AC572,IF(AA572-O572&gt;1095,0,AJ572*(AC572/2)))</f>
        <v>2.5191717791411041</v>
      </c>
      <c r="AL572" s="5">
        <f t="shared" ref="AL572:AL635" si="200">AK572*S572</f>
        <v>6.2979294478527601</v>
      </c>
      <c r="AM572" s="5">
        <f t="shared" ref="AM572:AM635" si="201">IF(J572="SIM",AL572*50%,0)</f>
        <v>0</v>
      </c>
      <c r="AN572" s="5">
        <f t="shared" ref="AN572:AN635" si="202">AL572+AM572</f>
        <v>6.2979294478527601</v>
      </c>
      <c r="AO572" s="1" t="s">
        <v>102</v>
      </c>
    </row>
    <row r="573" spans="1:41" x14ac:dyDescent="0.25">
      <c r="A573" s="1" t="s">
        <v>19</v>
      </c>
      <c r="B573" s="1" t="s">
        <v>37</v>
      </c>
      <c r="C573" s="1" t="s">
        <v>21</v>
      </c>
      <c r="D573" s="1" t="s">
        <v>38</v>
      </c>
      <c r="E573" s="1" t="s">
        <v>96</v>
      </c>
      <c r="F573" s="1" t="s">
        <v>103</v>
      </c>
      <c r="G573" s="1" t="s">
        <v>127</v>
      </c>
      <c r="H573" s="1" t="s">
        <v>555</v>
      </c>
      <c r="I573" s="1" t="s">
        <v>331</v>
      </c>
      <c r="J573" s="1" t="s">
        <v>101</v>
      </c>
      <c r="L573" s="1">
        <v>2833586</v>
      </c>
      <c r="M573" s="1" t="s">
        <v>782</v>
      </c>
      <c r="N573" s="8">
        <f t="shared" si="184"/>
        <v>44592</v>
      </c>
      <c r="O573" s="8">
        <f>DATE(2025,6,28)</f>
        <v>45836</v>
      </c>
      <c r="P573" s="1">
        <v>2562</v>
      </c>
      <c r="Q573" s="1">
        <v>2400</v>
      </c>
      <c r="R573" s="1">
        <f t="shared" si="185"/>
        <v>2400</v>
      </c>
      <c r="S573" s="1">
        <v>2.5</v>
      </c>
      <c r="U573" s="1">
        <f t="shared" si="186"/>
        <v>1245</v>
      </c>
      <c r="V573" s="7">
        <f t="shared" si="187"/>
        <v>1.927710843373494</v>
      </c>
      <c r="W573" s="7">
        <f t="shared" si="188"/>
        <v>703.61445783132535</v>
      </c>
      <c r="X573" s="7">
        <f t="shared" si="189"/>
        <v>0.87951807228915668</v>
      </c>
      <c r="AA573" s="8">
        <f t="shared" si="190"/>
        <v>44927</v>
      </c>
      <c r="AB573" s="8">
        <f t="shared" si="191"/>
        <v>45291</v>
      </c>
      <c r="AC573" s="1">
        <v>12</v>
      </c>
      <c r="AD573" s="1">
        <f t="shared" si="192"/>
        <v>365</v>
      </c>
      <c r="AE573" s="1">
        <f t="shared" si="193"/>
        <v>0</v>
      </c>
      <c r="AF573" s="1">
        <f t="shared" si="194"/>
        <v>0</v>
      </c>
      <c r="AG573" s="1">
        <f t="shared" si="195"/>
        <v>0</v>
      </c>
      <c r="AH573" s="1">
        <f t="shared" si="196"/>
        <v>0</v>
      </c>
      <c r="AI573" s="5">
        <f t="shared" si="197"/>
        <v>1</v>
      </c>
      <c r="AJ573" s="5">
        <f t="shared" si="198"/>
        <v>0.87951807228915668</v>
      </c>
      <c r="AK573" s="5">
        <f t="shared" si="199"/>
        <v>10.554216867469879</v>
      </c>
      <c r="AL573" s="5">
        <f t="shared" si="200"/>
        <v>26.385542168674696</v>
      </c>
      <c r="AM573" s="5">
        <f t="shared" si="201"/>
        <v>0</v>
      </c>
      <c r="AN573" s="5">
        <f t="shared" si="202"/>
        <v>26.385542168674696</v>
      </c>
      <c r="AO573" s="1" t="s">
        <v>102</v>
      </c>
    </row>
    <row r="574" spans="1:41" x14ac:dyDescent="0.25">
      <c r="A574" s="1" t="s">
        <v>19</v>
      </c>
      <c r="B574" s="1" t="s">
        <v>37</v>
      </c>
      <c r="C574" s="1" t="s">
        <v>21</v>
      </c>
      <c r="D574" s="1" t="s">
        <v>38</v>
      </c>
      <c r="E574" s="1" t="s">
        <v>96</v>
      </c>
      <c r="F574" s="1" t="s">
        <v>103</v>
      </c>
      <c r="G574" s="1" t="s">
        <v>127</v>
      </c>
      <c r="H574" s="1" t="s">
        <v>562</v>
      </c>
      <c r="I574" s="1" t="s">
        <v>331</v>
      </c>
      <c r="J574" s="1" t="s">
        <v>101</v>
      </c>
      <c r="L574" s="1">
        <v>2833588</v>
      </c>
      <c r="M574" s="1" t="s">
        <v>783</v>
      </c>
      <c r="N574" s="8">
        <f t="shared" si="184"/>
        <v>44592</v>
      </c>
      <c r="O574" s="8">
        <f>DATE(2024,12,23)</f>
        <v>45649</v>
      </c>
      <c r="P574" s="1">
        <v>2548</v>
      </c>
      <c r="Q574" s="1">
        <v>2400</v>
      </c>
      <c r="R574" s="1">
        <f t="shared" si="185"/>
        <v>2400</v>
      </c>
      <c r="S574" s="1">
        <v>2.5</v>
      </c>
      <c r="U574" s="1">
        <f t="shared" si="186"/>
        <v>1058</v>
      </c>
      <c r="V574" s="7">
        <f t="shared" si="187"/>
        <v>2.2684310018903591</v>
      </c>
      <c r="W574" s="7">
        <f t="shared" si="188"/>
        <v>827.97731568998108</v>
      </c>
      <c r="X574" s="7">
        <f t="shared" si="189"/>
        <v>1.0349716446124764</v>
      </c>
      <c r="AA574" s="8">
        <f t="shared" si="190"/>
        <v>44927</v>
      </c>
      <c r="AB574" s="8">
        <f t="shared" si="191"/>
        <v>45291</v>
      </c>
      <c r="AC574" s="1">
        <v>9</v>
      </c>
      <c r="AD574" s="1">
        <f t="shared" si="192"/>
        <v>365</v>
      </c>
      <c r="AE574" s="1">
        <f t="shared" si="193"/>
        <v>0</v>
      </c>
      <c r="AF574" s="1">
        <f t="shared" si="194"/>
        <v>0</v>
      </c>
      <c r="AG574" s="1">
        <f t="shared" si="195"/>
        <v>0</v>
      </c>
      <c r="AH574" s="1">
        <f t="shared" si="196"/>
        <v>0</v>
      </c>
      <c r="AI574" s="5">
        <f t="shared" si="197"/>
        <v>1</v>
      </c>
      <c r="AJ574" s="5">
        <f t="shared" si="198"/>
        <v>1.0349716446124764</v>
      </c>
      <c r="AK574" s="5">
        <f t="shared" si="199"/>
        <v>9.3147448015122869</v>
      </c>
      <c r="AL574" s="5">
        <f t="shared" si="200"/>
        <v>23.286862003780719</v>
      </c>
      <c r="AM574" s="5">
        <f t="shared" si="201"/>
        <v>0</v>
      </c>
      <c r="AN574" s="5">
        <f t="shared" si="202"/>
        <v>23.286862003780719</v>
      </c>
      <c r="AO574" s="1" t="s">
        <v>102</v>
      </c>
    </row>
    <row r="575" spans="1:41" x14ac:dyDescent="0.25">
      <c r="A575" s="1" t="s">
        <v>19</v>
      </c>
      <c r="B575" s="1" t="s">
        <v>37</v>
      </c>
      <c r="C575" s="1" t="s">
        <v>21</v>
      </c>
      <c r="D575" s="1" t="s">
        <v>38</v>
      </c>
      <c r="E575" s="1" t="s">
        <v>96</v>
      </c>
      <c r="F575" s="1" t="s">
        <v>103</v>
      </c>
      <c r="G575" s="1" t="s">
        <v>127</v>
      </c>
      <c r="H575" s="1" t="s">
        <v>518</v>
      </c>
      <c r="I575" s="1" t="s">
        <v>162</v>
      </c>
      <c r="J575" s="1" t="s">
        <v>101</v>
      </c>
      <c r="L575" s="1">
        <v>2833590</v>
      </c>
      <c r="M575" s="1" t="s">
        <v>784</v>
      </c>
      <c r="N575" s="8">
        <f t="shared" si="184"/>
        <v>44592</v>
      </c>
      <c r="O575" s="8">
        <f>DATE(2024,12,23)</f>
        <v>45649</v>
      </c>
      <c r="P575" s="1">
        <v>2130</v>
      </c>
      <c r="Q575" s="1">
        <v>2000</v>
      </c>
      <c r="R575" s="1">
        <f t="shared" si="185"/>
        <v>2000</v>
      </c>
      <c r="S575" s="1">
        <v>1.5</v>
      </c>
      <c r="U575" s="1">
        <f t="shared" si="186"/>
        <v>1058</v>
      </c>
      <c r="V575" s="7">
        <f t="shared" si="187"/>
        <v>1.890359168241966</v>
      </c>
      <c r="W575" s="7">
        <f t="shared" si="188"/>
        <v>689.98109640831763</v>
      </c>
      <c r="X575" s="7">
        <f t="shared" si="189"/>
        <v>0.86247637051039705</v>
      </c>
      <c r="AA575" s="8">
        <f t="shared" si="190"/>
        <v>44927</v>
      </c>
      <c r="AB575" s="8">
        <f t="shared" si="191"/>
        <v>45291</v>
      </c>
      <c r="AC575" s="1">
        <v>18</v>
      </c>
      <c r="AD575" s="1">
        <f t="shared" si="192"/>
        <v>365</v>
      </c>
      <c r="AE575" s="1">
        <f t="shared" si="193"/>
        <v>0</v>
      </c>
      <c r="AF575" s="1">
        <f t="shared" si="194"/>
        <v>0</v>
      </c>
      <c r="AG575" s="1">
        <f t="shared" si="195"/>
        <v>0</v>
      </c>
      <c r="AH575" s="1">
        <f t="shared" si="196"/>
        <v>0</v>
      </c>
      <c r="AI575" s="5">
        <f t="shared" si="197"/>
        <v>1</v>
      </c>
      <c r="AJ575" s="5">
        <f t="shared" si="198"/>
        <v>0.86247637051039705</v>
      </c>
      <c r="AK575" s="5">
        <f t="shared" si="199"/>
        <v>15.524574669187146</v>
      </c>
      <c r="AL575" s="5">
        <f t="shared" si="200"/>
        <v>23.286862003780719</v>
      </c>
      <c r="AM575" s="5">
        <f t="shared" si="201"/>
        <v>0</v>
      </c>
      <c r="AN575" s="5">
        <f t="shared" si="202"/>
        <v>23.286862003780719</v>
      </c>
      <c r="AO575" s="1" t="s">
        <v>102</v>
      </c>
    </row>
    <row r="576" spans="1:41" x14ac:dyDescent="0.25">
      <c r="A576" s="1" t="s">
        <v>19</v>
      </c>
      <c r="B576" s="1" t="s">
        <v>37</v>
      </c>
      <c r="C576" s="1" t="s">
        <v>21</v>
      </c>
      <c r="D576" s="1" t="s">
        <v>38</v>
      </c>
      <c r="E576" s="1" t="s">
        <v>96</v>
      </c>
      <c r="F576" s="1" t="s">
        <v>103</v>
      </c>
      <c r="G576" s="1" t="s">
        <v>127</v>
      </c>
      <c r="H576" s="1" t="s">
        <v>528</v>
      </c>
      <c r="I576" s="1" t="s">
        <v>162</v>
      </c>
      <c r="J576" s="1" t="s">
        <v>101</v>
      </c>
      <c r="L576" s="1">
        <v>2833593</v>
      </c>
      <c r="M576" s="1" t="s">
        <v>785</v>
      </c>
      <c r="N576" s="8">
        <f t="shared" si="184"/>
        <v>44592</v>
      </c>
      <c r="O576" s="8">
        <f>DATE(2024,12,23)</f>
        <v>45649</v>
      </c>
      <c r="P576" s="1">
        <v>2130</v>
      </c>
      <c r="Q576" s="1">
        <v>2000</v>
      </c>
      <c r="R576" s="1">
        <f t="shared" si="185"/>
        <v>2000</v>
      </c>
      <c r="S576" s="1">
        <v>1</v>
      </c>
      <c r="U576" s="1">
        <f t="shared" si="186"/>
        <v>1058</v>
      </c>
      <c r="V576" s="7">
        <f t="shared" si="187"/>
        <v>1.890359168241966</v>
      </c>
      <c r="W576" s="7">
        <f t="shared" si="188"/>
        <v>689.98109640831763</v>
      </c>
      <c r="X576" s="7">
        <f t="shared" si="189"/>
        <v>0.86247637051039705</v>
      </c>
      <c r="AA576" s="8">
        <f t="shared" si="190"/>
        <v>44927</v>
      </c>
      <c r="AB576" s="8">
        <f t="shared" si="191"/>
        <v>45291</v>
      </c>
      <c r="AC576" s="1">
        <v>26</v>
      </c>
      <c r="AD576" s="1">
        <f t="shared" si="192"/>
        <v>365</v>
      </c>
      <c r="AE576" s="1">
        <f t="shared" si="193"/>
        <v>0</v>
      </c>
      <c r="AF576" s="1">
        <f t="shared" si="194"/>
        <v>0</v>
      </c>
      <c r="AG576" s="1">
        <f t="shared" si="195"/>
        <v>0</v>
      </c>
      <c r="AH576" s="1">
        <f t="shared" si="196"/>
        <v>0</v>
      </c>
      <c r="AI576" s="5">
        <f t="shared" si="197"/>
        <v>1</v>
      </c>
      <c r="AJ576" s="5">
        <f t="shared" si="198"/>
        <v>0.86247637051039705</v>
      </c>
      <c r="AK576" s="5">
        <f t="shared" si="199"/>
        <v>22.424385633270322</v>
      </c>
      <c r="AL576" s="5">
        <f t="shared" si="200"/>
        <v>22.424385633270322</v>
      </c>
      <c r="AM576" s="5">
        <f t="shared" si="201"/>
        <v>0</v>
      </c>
      <c r="AN576" s="5">
        <f t="shared" si="202"/>
        <v>22.424385633270322</v>
      </c>
      <c r="AO576" s="1" t="s">
        <v>102</v>
      </c>
    </row>
    <row r="577" spans="1:41" x14ac:dyDescent="0.25">
      <c r="A577" s="1" t="s">
        <v>19</v>
      </c>
      <c r="B577" s="1" t="s">
        <v>37</v>
      </c>
      <c r="C577" s="1" t="s">
        <v>21</v>
      </c>
      <c r="D577" s="1" t="s">
        <v>38</v>
      </c>
      <c r="E577" s="1" t="s">
        <v>96</v>
      </c>
      <c r="F577" s="1" t="s">
        <v>103</v>
      </c>
      <c r="G577" s="1" t="s">
        <v>98</v>
      </c>
      <c r="H577" s="1" t="s">
        <v>537</v>
      </c>
      <c r="I577" s="1" t="s">
        <v>162</v>
      </c>
      <c r="J577" s="1" t="s">
        <v>101</v>
      </c>
      <c r="L577" s="1">
        <v>2833595</v>
      </c>
      <c r="M577" s="1" t="s">
        <v>786</v>
      </c>
      <c r="N577" s="8">
        <f t="shared" si="184"/>
        <v>44592</v>
      </c>
      <c r="O577" s="8">
        <f>DATE(2026,12,23)</f>
        <v>46379</v>
      </c>
      <c r="P577" s="1">
        <v>4460</v>
      </c>
      <c r="Q577" s="1">
        <v>3200</v>
      </c>
      <c r="R577" s="1">
        <f t="shared" si="185"/>
        <v>3200</v>
      </c>
      <c r="S577" s="1">
        <v>2.5</v>
      </c>
      <c r="U577" s="1">
        <f t="shared" si="186"/>
        <v>1788</v>
      </c>
      <c r="V577" s="7">
        <f t="shared" si="187"/>
        <v>1.7897091722595078</v>
      </c>
      <c r="W577" s="7">
        <f t="shared" si="188"/>
        <v>653.24384787472036</v>
      </c>
      <c r="X577" s="7">
        <f t="shared" si="189"/>
        <v>0.81655480984340045</v>
      </c>
      <c r="AA577" s="8">
        <f t="shared" si="190"/>
        <v>44927</v>
      </c>
      <c r="AB577" s="8">
        <f t="shared" si="191"/>
        <v>45291</v>
      </c>
      <c r="AC577" s="1">
        <v>41</v>
      </c>
      <c r="AD577" s="1">
        <f t="shared" si="192"/>
        <v>365</v>
      </c>
      <c r="AE577" s="1">
        <f t="shared" si="193"/>
        <v>0</v>
      </c>
      <c r="AF577" s="1">
        <f t="shared" si="194"/>
        <v>0</v>
      </c>
      <c r="AG577" s="1">
        <f t="shared" si="195"/>
        <v>0</v>
      </c>
      <c r="AH577" s="1">
        <f t="shared" si="196"/>
        <v>0</v>
      </c>
      <c r="AI577" s="5">
        <f t="shared" si="197"/>
        <v>1</v>
      </c>
      <c r="AJ577" s="5">
        <f t="shared" si="198"/>
        <v>0.81655480984340045</v>
      </c>
      <c r="AK577" s="5">
        <f t="shared" si="199"/>
        <v>33.478747203579417</v>
      </c>
      <c r="AL577" s="5">
        <f t="shared" si="200"/>
        <v>83.696868008948542</v>
      </c>
      <c r="AM577" s="5">
        <f t="shared" si="201"/>
        <v>0</v>
      </c>
      <c r="AN577" s="5">
        <f t="shared" si="202"/>
        <v>83.696868008948542</v>
      </c>
      <c r="AO577" s="1" t="s">
        <v>102</v>
      </c>
    </row>
    <row r="578" spans="1:41" x14ac:dyDescent="0.25">
      <c r="A578" s="1" t="s">
        <v>19</v>
      </c>
      <c r="B578" s="1" t="s">
        <v>37</v>
      </c>
      <c r="C578" s="1" t="s">
        <v>21</v>
      </c>
      <c r="D578" s="1" t="s">
        <v>38</v>
      </c>
      <c r="E578" s="1" t="s">
        <v>96</v>
      </c>
      <c r="F578" s="1" t="s">
        <v>103</v>
      </c>
      <c r="G578" s="1" t="s">
        <v>98</v>
      </c>
      <c r="H578" s="1" t="s">
        <v>542</v>
      </c>
      <c r="I578" s="1" t="s">
        <v>210</v>
      </c>
      <c r="J578" s="1" t="s">
        <v>101</v>
      </c>
      <c r="L578" s="1">
        <v>2833596</v>
      </c>
      <c r="M578" s="1" t="s">
        <v>787</v>
      </c>
      <c r="N578" s="8">
        <f t="shared" si="184"/>
        <v>44592</v>
      </c>
      <c r="O578" s="8">
        <f>DATE(2026,12,23)</f>
        <v>46379</v>
      </c>
      <c r="P578" s="1">
        <v>4610</v>
      </c>
      <c r="Q578" s="1">
        <v>3600</v>
      </c>
      <c r="R578" s="1">
        <f t="shared" si="185"/>
        <v>3600</v>
      </c>
      <c r="S578" s="1">
        <v>2.5</v>
      </c>
      <c r="U578" s="1">
        <f t="shared" si="186"/>
        <v>1788</v>
      </c>
      <c r="V578" s="7">
        <f t="shared" si="187"/>
        <v>2.0134228187919465</v>
      </c>
      <c r="W578" s="7">
        <f t="shared" si="188"/>
        <v>734.89932885906046</v>
      </c>
      <c r="X578" s="7">
        <f t="shared" si="189"/>
        <v>0.91862416107382561</v>
      </c>
      <c r="AA578" s="8">
        <f t="shared" si="190"/>
        <v>44927</v>
      </c>
      <c r="AB578" s="8">
        <f t="shared" si="191"/>
        <v>45291</v>
      </c>
      <c r="AC578" s="1">
        <v>14</v>
      </c>
      <c r="AD578" s="1">
        <f t="shared" si="192"/>
        <v>365</v>
      </c>
      <c r="AE578" s="1">
        <f t="shared" si="193"/>
        <v>0</v>
      </c>
      <c r="AF578" s="1">
        <f t="shared" si="194"/>
        <v>0</v>
      </c>
      <c r="AG578" s="1">
        <f t="shared" si="195"/>
        <v>0</v>
      </c>
      <c r="AH578" s="1">
        <f t="shared" si="196"/>
        <v>0</v>
      </c>
      <c r="AI578" s="5">
        <f t="shared" si="197"/>
        <v>1</v>
      </c>
      <c r="AJ578" s="5">
        <f t="shared" si="198"/>
        <v>0.91862416107382561</v>
      </c>
      <c r="AK578" s="5">
        <f t="shared" si="199"/>
        <v>12.860738255033558</v>
      </c>
      <c r="AL578" s="5">
        <f t="shared" si="200"/>
        <v>32.151845637583897</v>
      </c>
      <c r="AM578" s="5">
        <f t="shared" si="201"/>
        <v>0</v>
      </c>
      <c r="AN578" s="5">
        <f t="shared" si="202"/>
        <v>32.151845637583897</v>
      </c>
      <c r="AO578" s="1" t="s">
        <v>102</v>
      </c>
    </row>
    <row r="579" spans="1:41" x14ac:dyDescent="0.25">
      <c r="A579" s="1" t="s">
        <v>19</v>
      </c>
      <c r="B579" s="1" t="s">
        <v>37</v>
      </c>
      <c r="C579" s="1" t="s">
        <v>21</v>
      </c>
      <c r="D579" s="1" t="s">
        <v>38</v>
      </c>
      <c r="E579" s="1" t="s">
        <v>96</v>
      </c>
      <c r="F579" s="1" t="s">
        <v>103</v>
      </c>
      <c r="G579" s="1" t="s">
        <v>98</v>
      </c>
      <c r="H579" s="1" t="s">
        <v>725</v>
      </c>
      <c r="I579" s="1" t="s">
        <v>210</v>
      </c>
      <c r="J579" s="1" t="s">
        <v>101</v>
      </c>
      <c r="L579" s="1">
        <v>2833599</v>
      </c>
      <c r="M579" s="1" t="s">
        <v>788</v>
      </c>
      <c r="N579" s="8">
        <f t="shared" si="184"/>
        <v>44592</v>
      </c>
      <c r="O579" s="8">
        <f>DATE(2026,1,23)</f>
        <v>46045</v>
      </c>
      <c r="P579" s="1">
        <v>3662</v>
      </c>
      <c r="Q579" s="1">
        <v>3600</v>
      </c>
      <c r="R579" s="1">
        <f t="shared" si="185"/>
        <v>3600</v>
      </c>
      <c r="S579" s="1">
        <v>2.5</v>
      </c>
      <c r="U579" s="1">
        <f t="shared" si="186"/>
        <v>1454</v>
      </c>
      <c r="V579" s="7">
        <f t="shared" si="187"/>
        <v>2.4759284731774414</v>
      </c>
      <c r="W579" s="7">
        <f t="shared" si="188"/>
        <v>903.71389270976613</v>
      </c>
      <c r="X579" s="7">
        <f t="shared" si="189"/>
        <v>1.1296423658872077</v>
      </c>
      <c r="AA579" s="8">
        <f t="shared" si="190"/>
        <v>44927</v>
      </c>
      <c r="AB579" s="8">
        <f t="shared" si="191"/>
        <v>45291</v>
      </c>
      <c r="AC579" s="1">
        <v>50</v>
      </c>
      <c r="AD579" s="1">
        <f t="shared" si="192"/>
        <v>365</v>
      </c>
      <c r="AE579" s="1">
        <f t="shared" si="193"/>
        <v>0</v>
      </c>
      <c r="AF579" s="1">
        <f t="shared" si="194"/>
        <v>0</v>
      </c>
      <c r="AG579" s="1">
        <f t="shared" si="195"/>
        <v>0</v>
      </c>
      <c r="AH579" s="1">
        <f t="shared" si="196"/>
        <v>0</v>
      </c>
      <c r="AI579" s="5">
        <f t="shared" si="197"/>
        <v>1</v>
      </c>
      <c r="AJ579" s="5">
        <f t="shared" si="198"/>
        <v>1.1296423658872077</v>
      </c>
      <c r="AK579" s="5">
        <f t="shared" si="199"/>
        <v>56.482118294360383</v>
      </c>
      <c r="AL579" s="5">
        <f t="shared" si="200"/>
        <v>141.20529573590096</v>
      </c>
      <c r="AM579" s="5">
        <f t="shared" si="201"/>
        <v>0</v>
      </c>
      <c r="AN579" s="5">
        <f t="shared" si="202"/>
        <v>141.20529573590096</v>
      </c>
      <c r="AO579" s="1" t="s">
        <v>102</v>
      </c>
    </row>
    <row r="580" spans="1:41" x14ac:dyDescent="0.25">
      <c r="A580" s="1" t="s">
        <v>19</v>
      </c>
      <c r="B580" s="1" t="s">
        <v>37</v>
      </c>
      <c r="C580" s="1" t="s">
        <v>21</v>
      </c>
      <c r="D580" s="1" t="s">
        <v>38</v>
      </c>
      <c r="E580" s="1" t="s">
        <v>96</v>
      </c>
      <c r="F580" s="1" t="s">
        <v>103</v>
      </c>
      <c r="G580" s="1" t="s">
        <v>98</v>
      </c>
      <c r="H580" s="1" t="s">
        <v>523</v>
      </c>
      <c r="I580" s="1" t="s">
        <v>100</v>
      </c>
      <c r="J580" s="1" t="s">
        <v>101</v>
      </c>
      <c r="L580" s="1">
        <v>2833718</v>
      </c>
      <c r="M580" s="1" t="s">
        <v>789</v>
      </c>
      <c r="N580" s="8">
        <f t="shared" si="184"/>
        <v>44592</v>
      </c>
      <c r="O580" s="8">
        <f>DATE(2025,11,30)</f>
        <v>45991</v>
      </c>
      <c r="P580" s="1">
        <v>2587</v>
      </c>
      <c r="Q580" s="1">
        <v>2400</v>
      </c>
      <c r="R580" s="1">
        <f t="shared" si="185"/>
        <v>2400</v>
      </c>
      <c r="S580" s="1">
        <v>1</v>
      </c>
      <c r="U580" s="1">
        <f t="shared" si="186"/>
        <v>1400</v>
      </c>
      <c r="V580" s="7">
        <f t="shared" si="187"/>
        <v>1.7142857142857142</v>
      </c>
      <c r="W580" s="7">
        <f t="shared" si="188"/>
        <v>625.71428571428567</v>
      </c>
      <c r="X580" s="7">
        <f t="shared" si="189"/>
        <v>0.78214285714285703</v>
      </c>
      <c r="AA580" s="8">
        <f t="shared" si="190"/>
        <v>44927</v>
      </c>
      <c r="AB580" s="8">
        <f t="shared" si="191"/>
        <v>45291</v>
      </c>
      <c r="AC580" s="1">
        <v>39</v>
      </c>
      <c r="AD580" s="1">
        <f t="shared" si="192"/>
        <v>365</v>
      </c>
      <c r="AE580" s="1">
        <f t="shared" si="193"/>
        <v>0</v>
      </c>
      <c r="AF580" s="1">
        <f t="shared" si="194"/>
        <v>0</v>
      </c>
      <c r="AG580" s="1">
        <f t="shared" si="195"/>
        <v>0</v>
      </c>
      <c r="AH580" s="1">
        <f t="shared" si="196"/>
        <v>0</v>
      </c>
      <c r="AI580" s="5">
        <f t="shared" si="197"/>
        <v>1</v>
      </c>
      <c r="AJ580" s="5">
        <f t="shared" si="198"/>
        <v>0.78214285714285703</v>
      </c>
      <c r="AK580" s="5">
        <f t="shared" si="199"/>
        <v>30.503571428571423</v>
      </c>
      <c r="AL580" s="5">
        <f t="shared" si="200"/>
        <v>30.503571428571423</v>
      </c>
      <c r="AM580" s="5">
        <f t="shared" si="201"/>
        <v>0</v>
      </c>
      <c r="AN580" s="5">
        <f t="shared" si="202"/>
        <v>30.503571428571423</v>
      </c>
      <c r="AO580" s="1" t="s">
        <v>102</v>
      </c>
    </row>
    <row r="581" spans="1:41" x14ac:dyDescent="0.25">
      <c r="A581" s="1" t="s">
        <v>19</v>
      </c>
      <c r="B581" s="1" t="s">
        <v>37</v>
      </c>
      <c r="C581" s="1" t="s">
        <v>21</v>
      </c>
      <c r="D581" s="1" t="s">
        <v>38</v>
      </c>
      <c r="E581" s="1" t="s">
        <v>96</v>
      </c>
      <c r="F581" s="1" t="s">
        <v>103</v>
      </c>
      <c r="G581" s="1" t="s">
        <v>98</v>
      </c>
      <c r="H581" s="1" t="s">
        <v>566</v>
      </c>
      <c r="I581" s="1" t="s">
        <v>336</v>
      </c>
      <c r="J581" s="1" t="s">
        <v>101</v>
      </c>
      <c r="L581" s="1">
        <v>2833733</v>
      </c>
      <c r="M581" s="1" t="s">
        <v>790</v>
      </c>
      <c r="N581" s="8">
        <f t="shared" si="184"/>
        <v>44592</v>
      </c>
      <c r="O581" s="8">
        <f>DATE(2025,11,30)</f>
        <v>45991</v>
      </c>
      <c r="P581" s="1">
        <v>2600</v>
      </c>
      <c r="Q581" s="1">
        <v>2400</v>
      </c>
      <c r="R581" s="1">
        <f t="shared" si="185"/>
        <v>2400</v>
      </c>
      <c r="S581" s="1">
        <v>1</v>
      </c>
      <c r="U581" s="1">
        <f t="shared" si="186"/>
        <v>1400</v>
      </c>
      <c r="V581" s="7">
        <f t="shared" si="187"/>
        <v>1.7142857142857142</v>
      </c>
      <c r="W581" s="7">
        <f t="shared" si="188"/>
        <v>625.71428571428567</v>
      </c>
      <c r="X581" s="7">
        <f t="shared" si="189"/>
        <v>0.78214285714285703</v>
      </c>
      <c r="AA581" s="8">
        <f t="shared" si="190"/>
        <v>44927</v>
      </c>
      <c r="AB581" s="8">
        <f t="shared" si="191"/>
        <v>45291</v>
      </c>
      <c r="AC581" s="1">
        <v>23</v>
      </c>
      <c r="AD581" s="1">
        <f t="shared" si="192"/>
        <v>365</v>
      </c>
      <c r="AE581" s="1">
        <f t="shared" si="193"/>
        <v>0</v>
      </c>
      <c r="AF581" s="1">
        <f t="shared" si="194"/>
        <v>0</v>
      </c>
      <c r="AG581" s="1">
        <f t="shared" si="195"/>
        <v>0</v>
      </c>
      <c r="AH581" s="1">
        <f t="shared" si="196"/>
        <v>0</v>
      </c>
      <c r="AI581" s="5">
        <f t="shared" si="197"/>
        <v>1</v>
      </c>
      <c r="AJ581" s="5">
        <f t="shared" si="198"/>
        <v>0.78214285714285703</v>
      </c>
      <c r="AK581" s="5">
        <f t="shared" si="199"/>
        <v>17.98928571428571</v>
      </c>
      <c r="AL581" s="5">
        <f t="shared" si="200"/>
        <v>17.98928571428571</v>
      </c>
      <c r="AM581" s="5">
        <f t="shared" si="201"/>
        <v>0</v>
      </c>
      <c r="AN581" s="5">
        <f t="shared" si="202"/>
        <v>17.98928571428571</v>
      </c>
      <c r="AO581" s="1" t="s">
        <v>102</v>
      </c>
    </row>
    <row r="582" spans="1:41" x14ac:dyDescent="0.25">
      <c r="A582" s="1" t="s">
        <v>19</v>
      </c>
      <c r="B582" s="1" t="s">
        <v>37</v>
      </c>
      <c r="C582" s="1" t="s">
        <v>21</v>
      </c>
      <c r="D582" s="1" t="s">
        <v>38</v>
      </c>
      <c r="E582" s="1" t="s">
        <v>96</v>
      </c>
      <c r="F582" s="1" t="s">
        <v>103</v>
      </c>
      <c r="G582" s="1" t="s">
        <v>320</v>
      </c>
      <c r="H582" s="1" t="s">
        <v>685</v>
      </c>
      <c r="I582" s="1" t="s">
        <v>174</v>
      </c>
      <c r="J582" s="1" t="s">
        <v>101</v>
      </c>
      <c r="L582" s="1">
        <v>2838023</v>
      </c>
      <c r="M582" s="1" t="s">
        <v>791</v>
      </c>
      <c r="N582" s="8">
        <f t="shared" si="184"/>
        <v>44592</v>
      </c>
      <c r="O582" s="8">
        <f>DATE(2025,12,23)</f>
        <v>46014</v>
      </c>
      <c r="P582" s="1">
        <v>3231</v>
      </c>
      <c r="Q582" s="1">
        <v>3200</v>
      </c>
      <c r="R582" s="1">
        <f t="shared" si="185"/>
        <v>3200</v>
      </c>
      <c r="S582" s="1">
        <v>2.5</v>
      </c>
      <c r="U582" s="1">
        <f t="shared" si="186"/>
        <v>1423</v>
      </c>
      <c r="V582" s="7">
        <f t="shared" si="187"/>
        <v>2.2487702037947996</v>
      </c>
      <c r="W582" s="7">
        <f t="shared" si="188"/>
        <v>820.80112438510184</v>
      </c>
      <c r="X582" s="7">
        <f t="shared" si="189"/>
        <v>1.0260014054813773</v>
      </c>
      <c r="AA582" s="8">
        <f t="shared" si="190"/>
        <v>44927</v>
      </c>
      <c r="AB582" s="8">
        <f t="shared" si="191"/>
        <v>45291</v>
      </c>
      <c r="AC582" s="1">
        <v>42</v>
      </c>
      <c r="AD582" s="1">
        <f t="shared" si="192"/>
        <v>365</v>
      </c>
      <c r="AE582" s="1">
        <f t="shared" si="193"/>
        <v>0</v>
      </c>
      <c r="AF582" s="1">
        <f t="shared" si="194"/>
        <v>0</v>
      </c>
      <c r="AG582" s="1">
        <f t="shared" si="195"/>
        <v>0</v>
      </c>
      <c r="AH582" s="1">
        <f t="shared" si="196"/>
        <v>0</v>
      </c>
      <c r="AI582" s="5">
        <f t="shared" si="197"/>
        <v>1</v>
      </c>
      <c r="AJ582" s="5">
        <f t="shared" si="198"/>
        <v>1.0260014054813773</v>
      </c>
      <c r="AK582" s="5">
        <f t="shared" si="199"/>
        <v>43.092059030217847</v>
      </c>
      <c r="AL582" s="5">
        <f t="shared" si="200"/>
        <v>107.73014757554462</v>
      </c>
      <c r="AM582" s="5">
        <f t="shared" si="201"/>
        <v>0</v>
      </c>
      <c r="AN582" s="5">
        <f t="shared" si="202"/>
        <v>107.73014757554462</v>
      </c>
      <c r="AO582" s="1" t="s">
        <v>102</v>
      </c>
    </row>
    <row r="583" spans="1:41" x14ac:dyDescent="0.25">
      <c r="A583" s="1" t="s">
        <v>19</v>
      </c>
      <c r="B583" s="1" t="s">
        <v>37</v>
      </c>
      <c r="C583" s="1" t="s">
        <v>21</v>
      </c>
      <c r="D583" s="1" t="s">
        <v>38</v>
      </c>
      <c r="E583" s="1" t="s">
        <v>96</v>
      </c>
      <c r="F583" s="1" t="s">
        <v>103</v>
      </c>
      <c r="G583" s="1" t="s">
        <v>702</v>
      </c>
      <c r="H583" s="1" t="s">
        <v>703</v>
      </c>
      <c r="I583" s="1" t="s">
        <v>174</v>
      </c>
      <c r="J583" s="1" t="s">
        <v>101</v>
      </c>
      <c r="L583" s="1">
        <v>2843380</v>
      </c>
      <c r="M583" s="1" t="s">
        <v>792</v>
      </c>
      <c r="N583" s="8">
        <f>DATE(2022,3,3)</f>
        <v>44623</v>
      </c>
      <c r="O583" s="8">
        <f>DATE(2024,3,1)</f>
        <v>45352</v>
      </c>
      <c r="P583" s="1">
        <v>480</v>
      </c>
      <c r="Q583" s="1">
        <v>360</v>
      </c>
      <c r="R583" s="1">
        <f t="shared" si="185"/>
        <v>360</v>
      </c>
      <c r="S583" s="1">
        <v>3.75</v>
      </c>
      <c r="U583" s="1">
        <f t="shared" si="186"/>
        <v>730</v>
      </c>
      <c r="V583" s="7">
        <f t="shared" si="187"/>
        <v>0.49315068493150682</v>
      </c>
      <c r="W583" s="7">
        <f t="shared" si="188"/>
        <v>180</v>
      </c>
      <c r="X583" s="7">
        <f t="shared" si="189"/>
        <v>0.22500000000000001</v>
      </c>
      <c r="AA583" s="8">
        <f t="shared" si="190"/>
        <v>44927</v>
      </c>
      <c r="AB583" s="8">
        <f t="shared" si="191"/>
        <v>45291</v>
      </c>
      <c r="AC583" s="1">
        <v>53</v>
      </c>
      <c r="AD583" s="1">
        <f t="shared" si="192"/>
        <v>365</v>
      </c>
      <c r="AE583" s="1">
        <f t="shared" si="193"/>
        <v>0</v>
      </c>
      <c r="AF583" s="1">
        <f t="shared" si="194"/>
        <v>0</v>
      </c>
      <c r="AG583" s="1">
        <f t="shared" si="195"/>
        <v>0</v>
      </c>
      <c r="AH583" s="1">
        <f t="shared" si="196"/>
        <v>0</v>
      </c>
      <c r="AI583" s="5">
        <f t="shared" si="197"/>
        <v>1</v>
      </c>
      <c r="AJ583" s="5">
        <f t="shared" si="198"/>
        <v>0.22500000000000001</v>
      </c>
      <c r="AK583" s="5">
        <f t="shared" si="199"/>
        <v>11.925000000000001</v>
      </c>
      <c r="AL583" s="5">
        <f t="shared" si="200"/>
        <v>44.71875</v>
      </c>
      <c r="AM583" s="5">
        <f t="shared" si="201"/>
        <v>0</v>
      </c>
      <c r="AN583" s="5">
        <f t="shared" si="202"/>
        <v>44.71875</v>
      </c>
      <c r="AO583" s="1" t="s">
        <v>102</v>
      </c>
    </row>
    <row r="584" spans="1:41" x14ac:dyDescent="0.25">
      <c r="A584" s="1" t="s">
        <v>19</v>
      </c>
      <c r="B584" s="1" t="s">
        <v>37</v>
      </c>
      <c r="C584" s="1" t="s">
        <v>21</v>
      </c>
      <c r="D584" s="1" t="s">
        <v>38</v>
      </c>
      <c r="E584" s="1" t="s">
        <v>96</v>
      </c>
      <c r="F584" s="1" t="s">
        <v>103</v>
      </c>
      <c r="G584" s="1" t="s">
        <v>634</v>
      </c>
      <c r="H584" s="1" t="s">
        <v>635</v>
      </c>
      <c r="I584" s="1" t="s">
        <v>174</v>
      </c>
      <c r="J584" s="1" t="s">
        <v>101</v>
      </c>
      <c r="L584" s="1">
        <v>2855894</v>
      </c>
      <c r="M584" s="1" t="s">
        <v>793</v>
      </c>
      <c r="N584" s="8">
        <f>DATE(2022,3,8)</f>
        <v>44628</v>
      </c>
      <c r="O584" s="8">
        <f>DATE(2024,3,6)</f>
        <v>45357</v>
      </c>
      <c r="P584" s="1">
        <v>480</v>
      </c>
      <c r="Q584" s="1">
        <v>360</v>
      </c>
      <c r="R584" s="1">
        <f t="shared" si="185"/>
        <v>360</v>
      </c>
      <c r="S584" s="1">
        <v>3.75</v>
      </c>
      <c r="U584" s="1">
        <f t="shared" si="186"/>
        <v>730</v>
      </c>
      <c r="V584" s="7">
        <f t="shared" si="187"/>
        <v>0.49315068493150682</v>
      </c>
      <c r="W584" s="7">
        <f t="shared" si="188"/>
        <v>180</v>
      </c>
      <c r="X584" s="7">
        <f t="shared" si="189"/>
        <v>0.22500000000000001</v>
      </c>
      <c r="AA584" s="8">
        <f t="shared" si="190"/>
        <v>44927</v>
      </c>
      <c r="AB584" s="8">
        <f t="shared" si="191"/>
        <v>45291</v>
      </c>
      <c r="AC584" s="1">
        <v>23</v>
      </c>
      <c r="AD584" s="1">
        <f t="shared" si="192"/>
        <v>365</v>
      </c>
      <c r="AE584" s="1">
        <f t="shared" si="193"/>
        <v>0</v>
      </c>
      <c r="AF584" s="1">
        <f t="shared" si="194"/>
        <v>0</v>
      </c>
      <c r="AG584" s="1">
        <f t="shared" si="195"/>
        <v>0</v>
      </c>
      <c r="AH584" s="1">
        <f t="shared" si="196"/>
        <v>0</v>
      </c>
      <c r="AI584" s="5">
        <f t="shared" si="197"/>
        <v>1</v>
      </c>
      <c r="AJ584" s="5">
        <f t="shared" si="198"/>
        <v>0.22500000000000001</v>
      </c>
      <c r="AK584" s="5">
        <f t="shared" si="199"/>
        <v>5.1749999999999998</v>
      </c>
      <c r="AL584" s="5">
        <f t="shared" si="200"/>
        <v>19.40625</v>
      </c>
      <c r="AM584" s="5">
        <f t="shared" si="201"/>
        <v>0</v>
      </c>
      <c r="AN584" s="5">
        <f t="shared" si="202"/>
        <v>19.40625</v>
      </c>
      <c r="AO584" s="1" t="s">
        <v>102</v>
      </c>
    </row>
    <row r="585" spans="1:41" x14ac:dyDescent="0.25">
      <c r="A585" s="1" t="s">
        <v>19</v>
      </c>
      <c r="B585" s="1" t="s">
        <v>37</v>
      </c>
      <c r="C585" s="1" t="s">
        <v>21</v>
      </c>
      <c r="D585" s="1" t="s">
        <v>38</v>
      </c>
      <c r="E585" s="1" t="s">
        <v>96</v>
      </c>
      <c r="F585" s="1" t="s">
        <v>103</v>
      </c>
      <c r="G585" s="1" t="s">
        <v>114</v>
      </c>
      <c r="H585" s="1" t="s">
        <v>574</v>
      </c>
      <c r="I585" s="1" t="s">
        <v>331</v>
      </c>
      <c r="J585" s="1" t="s">
        <v>101</v>
      </c>
      <c r="K585" s="1" t="s">
        <v>175</v>
      </c>
      <c r="L585" s="1">
        <v>2885337</v>
      </c>
      <c r="M585" s="1" t="s">
        <v>794</v>
      </c>
      <c r="N585" s="8">
        <f t="shared" ref="N585:N598" si="203">DATE(2022,7,18)</f>
        <v>44760</v>
      </c>
      <c r="O585" s="8">
        <f>DATE(2024,6,15)</f>
        <v>45458</v>
      </c>
      <c r="P585" s="1">
        <v>1258</v>
      </c>
      <c r="Q585" s="1">
        <v>1200</v>
      </c>
      <c r="R585" s="1">
        <f t="shared" si="185"/>
        <v>1200</v>
      </c>
      <c r="S585" s="1">
        <v>2.5</v>
      </c>
      <c r="U585" s="1">
        <f t="shared" si="186"/>
        <v>699</v>
      </c>
      <c r="V585" s="7">
        <f t="shared" si="187"/>
        <v>1.7167381974248928</v>
      </c>
      <c r="W585" s="7">
        <f t="shared" si="188"/>
        <v>626.60944206008583</v>
      </c>
      <c r="X585" s="7">
        <f t="shared" si="189"/>
        <v>0.78326180257510725</v>
      </c>
      <c r="AA585" s="8">
        <f t="shared" si="190"/>
        <v>44927</v>
      </c>
      <c r="AB585" s="8">
        <f t="shared" si="191"/>
        <v>45291</v>
      </c>
      <c r="AC585" s="1">
        <v>17</v>
      </c>
      <c r="AD585" s="1">
        <f t="shared" si="192"/>
        <v>365</v>
      </c>
      <c r="AE585" s="1">
        <f t="shared" si="193"/>
        <v>0</v>
      </c>
      <c r="AF585" s="1">
        <f t="shared" si="194"/>
        <v>0</v>
      </c>
      <c r="AG585" s="1">
        <f t="shared" si="195"/>
        <v>0</v>
      </c>
      <c r="AH585" s="1">
        <f t="shared" si="196"/>
        <v>0</v>
      </c>
      <c r="AI585" s="5">
        <f t="shared" si="197"/>
        <v>1</v>
      </c>
      <c r="AJ585" s="5">
        <f t="shared" si="198"/>
        <v>0.78326180257510725</v>
      </c>
      <c r="AK585" s="5">
        <f t="shared" si="199"/>
        <v>13.315450643776824</v>
      </c>
      <c r="AL585" s="5">
        <f t="shared" si="200"/>
        <v>33.288626609442062</v>
      </c>
      <c r="AM585" s="5">
        <f t="shared" si="201"/>
        <v>0</v>
      </c>
      <c r="AN585" s="5">
        <f t="shared" si="202"/>
        <v>33.288626609442062</v>
      </c>
      <c r="AO585" s="1" t="s">
        <v>102</v>
      </c>
    </row>
    <row r="586" spans="1:41" x14ac:dyDescent="0.25">
      <c r="A586" s="1" t="s">
        <v>19</v>
      </c>
      <c r="B586" s="1" t="s">
        <v>37</v>
      </c>
      <c r="C586" s="1" t="s">
        <v>21</v>
      </c>
      <c r="D586" s="1" t="s">
        <v>38</v>
      </c>
      <c r="E586" s="1" t="s">
        <v>96</v>
      </c>
      <c r="F586" s="1" t="s">
        <v>103</v>
      </c>
      <c r="G586" s="1" t="s">
        <v>114</v>
      </c>
      <c r="H586" s="1" t="s">
        <v>569</v>
      </c>
      <c r="I586" s="1" t="s">
        <v>331</v>
      </c>
      <c r="J586" s="1" t="s">
        <v>101</v>
      </c>
      <c r="K586" s="1" t="s">
        <v>175</v>
      </c>
      <c r="L586" s="1">
        <v>2885338</v>
      </c>
      <c r="M586" s="1" t="s">
        <v>795</v>
      </c>
      <c r="N586" s="8">
        <f t="shared" si="203"/>
        <v>44760</v>
      </c>
      <c r="O586" s="8">
        <f>DATE(2024,6,15)</f>
        <v>45458</v>
      </c>
      <c r="P586" s="1">
        <v>1394</v>
      </c>
      <c r="Q586" s="1">
        <v>1200</v>
      </c>
      <c r="R586" s="1">
        <f t="shared" si="185"/>
        <v>1200</v>
      </c>
      <c r="S586" s="1">
        <v>2.5</v>
      </c>
      <c r="U586" s="1">
        <f t="shared" si="186"/>
        <v>699</v>
      </c>
      <c r="V586" s="7">
        <f t="shared" si="187"/>
        <v>1.7167381974248928</v>
      </c>
      <c r="W586" s="7">
        <f t="shared" si="188"/>
        <v>626.60944206008583</v>
      </c>
      <c r="X586" s="7">
        <f t="shared" si="189"/>
        <v>0.78326180257510725</v>
      </c>
      <c r="AA586" s="8">
        <f t="shared" si="190"/>
        <v>44927</v>
      </c>
      <c r="AB586" s="8">
        <f t="shared" si="191"/>
        <v>45291</v>
      </c>
      <c r="AC586" s="1">
        <v>20</v>
      </c>
      <c r="AD586" s="1">
        <f t="shared" si="192"/>
        <v>365</v>
      </c>
      <c r="AE586" s="1">
        <f t="shared" si="193"/>
        <v>0</v>
      </c>
      <c r="AF586" s="1">
        <f t="shared" si="194"/>
        <v>0</v>
      </c>
      <c r="AG586" s="1">
        <f t="shared" si="195"/>
        <v>0</v>
      </c>
      <c r="AH586" s="1">
        <f t="shared" si="196"/>
        <v>0</v>
      </c>
      <c r="AI586" s="5">
        <f t="shared" si="197"/>
        <v>1</v>
      </c>
      <c r="AJ586" s="5">
        <f t="shared" si="198"/>
        <v>0.78326180257510725</v>
      </c>
      <c r="AK586" s="5">
        <f t="shared" si="199"/>
        <v>15.665236051502145</v>
      </c>
      <c r="AL586" s="5">
        <f t="shared" si="200"/>
        <v>39.163090128755364</v>
      </c>
      <c r="AM586" s="5">
        <f t="shared" si="201"/>
        <v>0</v>
      </c>
      <c r="AN586" s="5">
        <f t="shared" si="202"/>
        <v>39.163090128755364</v>
      </c>
      <c r="AO586" s="1" t="s">
        <v>102</v>
      </c>
    </row>
    <row r="587" spans="1:41" x14ac:dyDescent="0.25">
      <c r="A587" s="1" t="s">
        <v>19</v>
      </c>
      <c r="B587" s="1" t="s">
        <v>37</v>
      </c>
      <c r="C587" s="1" t="s">
        <v>21</v>
      </c>
      <c r="D587" s="1" t="s">
        <v>38</v>
      </c>
      <c r="E587" s="1" t="s">
        <v>96</v>
      </c>
      <c r="F587" s="1" t="s">
        <v>103</v>
      </c>
      <c r="G587" s="1" t="s">
        <v>114</v>
      </c>
      <c r="H587" s="1" t="s">
        <v>592</v>
      </c>
      <c r="I587" s="1" t="s">
        <v>210</v>
      </c>
      <c r="J587" s="1" t="s">
        <v>101</v>
      </c>
      <c r="K587" s="1" t="s">
        <v>175</v>
      </c>
      <c r="L587" s="1">
        <v>2885340</v>
      </c>
      <c r="M587" s="1" t="s">
        <v>796</v>
      </c>
      <c r="N587" s="8">
        <f t="shared" si="203"/>
        <v>44760</v>
      </c>
      <c r="O587" s="8">
        <f>DATE(2024,6,15)</f>
        <v>45458</v>
      </c>
      <c r="P587" s="1">
        <v>1707</v>
      </c>
      <c r="Q587" s="1">
        <v>1200</v>
      </c>
      <c r="R587" s="1">
        <f t="shared" si="185"/>
        <v>1200</v>
      </c>
      <c r="S587" s="1">
        <v>2.5</v>
      </c>
      <c r="U587" s="1">
        <f t="shared" si="186"/>
        <v>699</v>
      </c>
      <c r="V587" s="7">
        <f t="shared" si="187"/>
        <v>1.7167381974248928</v>
      </c>
      <c r="W587" s="7">
        <f t="shared" si="188"/>
        <v>626.60944206008583</v>
      </c>
      <c r="X587" s="7">
        <f t="shared" si="189"/>
        <v>0.78326180257510725</v>
      </c>
      <c r="AA587" s="8">
        <f t="shared" si="190"/>
        <v>44927</v>
      </c>
      <c r="AB587" s="8">
        <f t="shared" si="191"/>
        <v>45291</v>
      </c>
      <c r="AC587" s="1">
        <v>19</v>
      </c>
      <c r="AD587" s="1">
        <f t="shared" si="192"/>
        <v>365</v>
      </c>
      <c r="AE587" s="1">
        <f t="shared" si="193"/>
        <v>0</v>
      </c>
      <c r="AF587" s="1">
        <f t="shared" si="194"/>
        <v>0</v>
      </c>
      <c r="AG587" s="1">
        <f t="shared" si="195"/>
        <v>0</v>
      </c>
      <c r="AH587" s="1">
        <f t="shared" si="196"/>
        <v>0</v>
      </c>
      <c r="AI587" s="5">
        <f t="shared" si="197"/>
        <v>1</v>
      </c>
      <c r="AJ587" s="5">
        <f t="shared" si="198"/>
        <v>0.78326180257510725</v>
      </c>
      <c r="AK587" s="5">
        <f t="shared" si="199"/>
        <v>14.881974248927037</v>
      </c>
      <c r="AL587" s="5">
        <f t="shared" si="200"/>
        <v>37.204935622317592</v>
      </c>
      <c r="AM587" s="5">
        <f t="shared" si="201"/>
        <v>0</v>
      </c>
      <c r="AN587" s="5">
        <f t="shared" si="202"/>
        <v>37.204935622317592</v>
      </c>
      <c r="AO587" s="1" t="s">
        <v>102</v>
      </c>
    </row>
    <row r="588" spans="1:41" x14ac:dyDescent="0.25">
      <c r="A588" s="1" t="s">
        <v>19</v>
      </c>
      <c r="B588" s="1" t="s">
        <v>37</v>
      </c>
      <c r="C588" s="1" t="s">
        <v>21</v>
      </c>
      <c r="D588" s="1" t="s">
        <v>38</v>
      </c>
      <c r="E588" s="1" t="s">
        <v>96</v>
      </c>
      <c r="F588" s="1" t="s">
        <v>103</v>
      </c>
      <c r="G588" s="1" t="s">
        <v>114</v>
      </c>
      <c r="H588" s="1" t="s">
        <v>590</v>
      </c>
      <c r="I588" s="1" t="s">
        <v>210</v>
      </c>
      <c r="J588" s="1" t="s">
        <v>101</v>
      </c>
      <c r="K588" s="1" t="s">
        <v>175</v>
      </c>
      <c r="L588" s="1">
        <v>2885342</v>
      </c>
      <c r="M588" s="1" t="s">
        <v>797</v>
      </c>
      <c r="N588" s="8">
        <f t="shared" si="203"/>
        <v>44760</v>
      </c>
      <c r="O588" s="8">
        <f>DATE(2024,6,15)</f>
        <v>45458</v>
      </c>
      <c r="P588" s="1">
        <v>1707</v>
      </c>
      <c r="Q588" s="1">
        <v>1200</v>
      </c>
      <c r="R588" s="1">
        <f t="shared" si="185"/>
        <v>1200</v>
      </c>
      <c r="S588" s="1">
        <v>2.5</v>
      </c>
      <c r="U588" s="1">
        <f t="shared" si="186"/>
        <v>699</v>
      </c>
      <c r="V588" s="7">
        <f t="shared" si="187"/>
        <v>1.7167381974248928</v>
      </c>
      <c r="W588" s="7">
        <f t="shared" si="188"/>
        <v>626.60944206008583</v>
      </c>
      <c r="X588" s="7">
        <f t="shared" si="189"/>
        <v>0.78326180257510725</v>
      </c>
      <c r="AA588" s="8">
        <f t="shared" si="190"/>
        <v>44927</v>
      </c>
      <c r="AB588" s="8">
        <f t="shared" si="191"/>
        <v>45291</v>
      </c>
      <c r="AC588" s="1">
        <v>22</v>
      </c>
      <c r="AD588" s="1">
        <f t="shared" si="192"/>
        <v>365</v>
      </c>
      <c r="AE588" s="1">
        <f t="shared" si="193"/>
        <v>0</v>
      </c>
      <c r="AF588" s="1">
        <f t="shared" si="194"/>
        <v>0</v>
      </c>
      <c r="AG588" s="1">
        <f t="shared" si="195"/>
        <v>0</v>
      </c>
      <c r="AH588" s="1">
        <f t="shared" si="196"/>
        <v>0</v>
      </c>
      <c r="AI588" s="5">
        <f t="shared" si="197"/>
        <v>1</v>
      </c>
      <c r="AJ588" s="5">
        <f t="shared" si="198"/>
        <v>0.78326180257510725</v>
      </c>
      <c r="AK588" s="5">
        <f t="shared" si="199"/>
        <v>17.231759656652358</v>
      </c>
      <c r="AL588" s="5">
        <f t="shared" si="200"/>
        <v>43.079399141630894</v>
      </c>
      <c r="AM588" s="5">
        <f t="shared" si="201"/>
        <v>0</v>
      </c>
      <c r="AN588" s="5">
        <f t="shared" si="202"/>
        <v>43.079399141630894</v>
      </c>
      <c r="AO588" s="1" t="s">
        <v>102</v>
      </c>
    </row>
    <row r="589" spans="1:41" x14ac:dyDescent="0.25">
      <c r="A589" s="1" t="s">
        <v>19</v>
      </c>
      <c r="B589" s="1" t="s">
        <v>37</v>
      </c>
      <c r="C589" s="1" t="s">
        <v>21</v>
      </c>
      <c r="D589" s="1" t="s">
        <v>38</v>
      </c>
      <c r="E589" s="1" t="s">
        <v>96</v>
      </c>
      <c r="F589" s="1" t="s">
        <v>103</v>
      </c>
      <c r="G589" s="1" t="s">
        <v>98</v>
      </c>
      <c r="H589" s="1" t="s">
        <v>537</v>
      </c>
      <c r="I589" s="1" t="s">
        <v>162</v>
      </c>
      <c r="J589" s="1" t="s">
        <v>101</v>
      </c>
      <c r="L589" s="1">
        <v>2885580</v>
      </c>
      <c r="M589" s="1" t="s">
        <v>798</v>
      </c>
      <c r="N589" s="8">
        <f t="shared" si="203"/>
        <v>44760</v>
      </c>
      <c r="O589" s="8">
        <f>DATE(2027,6,18)</f>
        <v>46556</v>
      </c>
      <c r="P589" s="1">
        <v>4460</v>
      </c>
      <c r="Q589" s="1">
        <v>3200</v>
      </c>
      <c r="R589" s="1">
        <f t="shared" si="185"/>
        <v>3200</v>
      </c>
      <c r="S589" s="1">
        <v>2.5</v>
      </c>
      <c r="U589" s="1">
        <f t="shared" si="186"/>
        <v>1797</v>
      </c>
      <c r="V589" s="7">
        <f t="shared" si="187"/>
        <v>1.7807456872565386</v>
      </c>
      <c r="W589" s="7">
        <f t="shared" si="188"/>
        <v>649.97217584863654</v>
      </c>
      <c r="X589" s="7">
        <f t="shared" si="189"/>
        <v>0.81246521981079567</v>
      </c>
      <c r="AA589" s="8">
        <f t="shared" si="190"/>
        <v>44927</v>
      </c>
      <c r="AB589" s="8">
        <f t="shared" si="191"/>
        <v>45291</v>
      </c>
      <c r="AC589" s="1">
        <v>36</v>
      </c>
      <c r="AD589" s="1">
        <f t="shared" si="192"/>
        <v>365</v>
      </c>
      <c r="AE589" s="1">
        <f t="shared" si="193"/>
        <v>0</v>
      </c>
      <c r="AF589" s="1">
        <f t="shared" si="194"/>
        <v>0</v>
      </c>
      <c r="AG589" s="1">
        <f t="shared" si="195"/>
        <v>0</v>
      </c>
      <c r="AH589" s="1">
        <f t="shared" si="196"/>
        <v>0</v>
      </c>
      <c r="AI589" s="5">
        <f t="shared" si="197"/>
        <v>1</v>
      </c>
      <c r="AJ589" s="5">
        <f t="shared" si="198"/>
        <v>0.81246521981079567</v>
      </c>
      <c r="AK589" s="5">
        <f t="shared" si="199"/>
        <v>29.248747913188645</v>
      </c>
      <c r="AL589" s="5">
        <f t="shared" si="200"/>
        <v>73.121869782971615</v>
      </c>
      <c r="AM589" s="5">
        <f t="shared" si="201"/>
        <v>0</v>
      </c>
      <c r="AN589" s="5">
        <f t="shared" si="202"/>
        <v>73.121869782971615</v>
      </c>
      <c r="AO589" s="1" t="s">
        <v>102</v>
      </c>
    </row>
    <row r="590" spans="1:41" x14ac:dyDescent="0.25">
      <c r="A590" s="1" t="s">
        <v>19</v>
      </c>
      <c r="B590" s="1" t="s">
        <v>37</v>
      </c>
      <c r="C590" s="1" t="s">
        <v>21</v>
      </c>
      <c r="D590" s="1" t="s">
        <v>38</v>
      </c>
      <c r="E590" s="1" t="s">
        <v>96</v>
      </c>
      <c r="F590" s="1" t="s">
        <v>103</v>
      </c>
      <c r="G590" s="1" t="s">
        <v>98</v>
      </c>
      <c r="H590" s="1" t="s">
        <v>542</v>
      </c>
      <c r="I590" s="1" t="s">
        <v>210</v>
      </c>
      <c r="J590" s="1" t="s">
        <v>101</v>
      </c>
      <c r="L590" s="1">
        <v>2885584</v>
      </c>
      <c r="M590" s="1" t="s">
        <v>799</v>
      </c>
      <c r="N590" s="8">
        <f t="shared" si="203"/>
        <v>44760</v>
      </c>
      <c r="O590" s="8">
        <f>DATE(2027,6,18)</f>
        <v>46556</v>
      </c>
      <c r="P590" s="1">
        <v>4430</v>
      </c>
      <c r="Q590" s="1">
        <v>3600</v>
      </c>
      <c r="R590" s="1">
        <f t="shared" si="185"/>
        <v>3600</v>
      </c>
      <c r="S590" s="1">
        <v>2.5</v>
      </c>
      <c r="U590" s="1">
        <f t="shared" si="186"/>
        <v>1797</v>
      </c>
      <c r="V590" s="7">
        <f t="shared" si="187"/>
        <v>2.003338898163606</v>
      </c>
      <c r="W590" s="7">
        <f t="shared" si="188"/>
        <v>731.21869782971623</v>
      </c>
      <c r="X590" s="7">
        <f t="shared" si="189"/>
        <v>0.91402337228714525</v>
      </c>
      <c r="AA590" s="8">
        <f t="shared" si="190"/>
        <v>44927</v>
      </c>
      <c r="AB590" s="8">
        <f t="shared" si="191"/>
        <v>45291</v>
      </c>
      <c r="AC590" s="1">
        <v>11</v>
      </c>
      <c r="AD590" s="1">
        <f t="shared" si="192"/>
        <v>365</v>
      </c>
      <c r="AE590" s="1">
        <f t="shared" si="193"/>
        <v>0</v>
      </c>
      <c r="AF590" s="1">
        <f t="shared" si="194"/>
        <v>0</v>
      </c>
      <c r="AG590" s="1">
        <f t="shared" si="195"/>
        <v>0</v>
      </c>
      <c r="AH590" s="1">
        <f t="shared" si="196"/>
        <v>0</v>
      </c>
      <c r="AI590" s="5">
        <f t="shared" si="197"/>
        <v>1</v>
      </c>
      <c r="AJ590" s="5">
        <f t="shared" si="198"/>
        <v>0.91402337228714525</v>
      </c>
      <c r="AK590" s="5">
        <f t="shared" si="199"/>
        <v>10.054257095158597</v>
      </c>
      <c r="AL590" s="5">
        <f t="shared" si="200"/>
        <v>25.135642737896493</v>
      </c>
      <c r="AM590" s="5">
        <f t="shared" si="201"/>
        <v>0</v>
      </c>
      <c r="AN590" s="5">
        <f t="shared" si="202"/>
        <v>25.135642737896493</v>
      </c>
      <c r="AO590" s="1" t="s">
        <v>102</v>
      </c>
    </row>
    <row r="591" spans="1:41" x14ac:dyDescent="0.25">
      <c r="A591" s="1" t="s">
        <v>19</v>
      </c>
      <c r="B591" s="1" t="s">
        <v>37</v>
      </c>
      <c r="C591" s="1" t="s">
        <v>21</v>
      </c>
      <c r="D591" s="1" t="s">
        <v>38</v>
      </c>
      <c r="E591" s="1" t="s">
        <v>96</v>
      </c>
      <c r="F591" s="1" t="s">
        <v>103</v>
      </c>
      <c r="G591" s="1" t="s">
        <v>98</v>
      </c>
      <c r="H591" s="1" t="s">
        <v>725</v>
      </c>
      <c r="I591" s="1" t="s">
        <v>210</v>
      </c>
      <c r="J591" s="1" t="s">
        <v>101</v>
      </c>
      <c r="L591" s="1">
        <v>2885588</v>
      </c>
      <c r="M591" s="1" t="s">
        <v>800</v>
      </c>
      <c r="N591" s="8">
        <f t="shared" si="203"/>
        <v>44760</v>
      </c>
      <c r="O591" s="8">
        <f>DATE(2027,6,18)</f>
        <v>46556</v>
      </c>
      <c r="P591" s="1">
        <v>3662</v>
      </c>
      <c r="Q591" s="1">
        <v>3600</v>
      </c>
      <c r="R591" s="1">
        <f t="shared" si="185"/>
        <v>3600</v>
      </c>
      <c r="S591" s="1">
        <v>2.5</v>
      </c>
      <c r="U591" s="1">
        <f t="shared" si="186"/>
        <v>1797</v>
      </c>
      <c r="V591" s="7">
        <f t="shared" si="187"/>
        <v>2.003338898163606</v>
      </c>
      <c r="W591" s="7">
        <f t="shared" si="188"/>
        <v>731.21869782971623</v>
      </c>
      <c r="X591" s="7">
        <f t="shared" si="189"/>
        <v>0.91402337228714525</v>
      </c>
      <c r="AA591" s="8">
        <f t="shared" si="190"/>
        <v>44927</v>
      </c>
      <c r="AB591" s="8">
        <f t="shared" si="191"/>
        <v>45291</v>
      </c>
      <c r="AC591" s="1">
        <v>45</v>
      </c>
      <c r="AD591" s="1">
        <f t="shared" si="192"/>
        <v>365</v>
      </c>
      <c r="AE591" s="1">
        <f t="shared" si="193"/>
        <v>0</v>
      </c>
      <c r="AF591" s="1">
        <f t="shared" si="194"/>
        <v>0</v>
      </c>
      <c r="AG591" s="1">
        <f t="shared" si="195"/>
        <v>0</v>
      </c>
      <c r="AH591" s="1">
        <f t="shared" si="196"/>
        <v>0</v>
      </c>
      <c r="AI591" s="5">
        <f t="shared" si="197"/>
        <v>1</v>
      </c>
      <c r="AJ591" s="5">
        <f t="shared" si="198"/>
        <v>0.91402337228714525</v>
      </c>
      <c r="AK591" s="5">
        <f t="shared" si="199"/>
        <v>41.131051752921536</v>
      </c>
      <c r="AL591" s="5">
        <f t="shared" si="200"/>
        <v>102.82762938230384</v>
      </c>
      <c r="AM591" s="5">
        <f t="shared" si="201"/>
        <v>0</v>
      </c>
      <c r="AN591" s="5">
        <f t="shared" si="202"/>
        <v>102.82762938230384</v>
      </c>
      <c r="AO591" s="1" t="s">
        <v>102</v>
      </c>
    </row>
    <row r="592" spans="1:41" x14ac:dyDescent="0.25">
      <c r="A592" s="1" t="s">
        <v>19</v>
      </c>
      <c r="B592" s="1" t="s">
        <v>37</v>
      </c>
      <c r="C592" s="1" t="s">
        <v>21</v>
      </c>
      <c r="D592" s="1" t="s">
        <v>38</v>
      </c>
      <c r="E592" s="1" t="s">
        <v>96</v>
      </c>
      <c r="F592" s="1" t="s">
        <v>103</v>
      </c>
      <c r="G592" s="1" t="s">
        <v>98</v>
      </c>
      <c r="H592" s="1" t="s">
        <v>523</v>
      </c>
      <c r="I592" s="1" t="s">
        <v>100</v>
      </c>
      <c r="J592" s="1" t="s">
        <v>101</v>
      </c>
      <c r="L592" s="1">
        <v>2885612</v>
      </c>
      <c r="M592" s="1" t="s">
        <v>801</v>
      </c>
      <c r="N592" s="8">
        <f t="shared" si="203"/>
        <v>44760</v>
      </c>
      <c r="O592" s="8">
        <f>DATE(2026,5,17)</f>
        <v>46159</v>
      </c>
      <c r="P592" s="1">
        <v>2400</v>
      </c>
      <c r="Q592" s="1">
        <v>2400</v>
      </c>
      <c r="R592" s="1">
        <f t="shared" si="185"/>
        <v>2400</v>
      </c>
      <c r="S592" s="1">
        <v>1</v>
      </c>
      <c r="U592" s="1">
        <f t="shared" si="186"/>
        <v>1400</v>
      </c>
      <c r="V592" s="7">
        <f t="shared" si="187"/>
        <v>1.7142857142857142</v>
      </c>
      <c r="W592" s="7">
        <f t="shared" si="188"/>
        <v>625.71428571428567</v>
      </c>
      <c r="X592" s="7">
        <f t="shared" si="189"/>
        <v>0.78214285714285703</v>
      </c>
      <c r="AA592" s="8">
        <f t="shared" si="190"/>
        <v>44927</v>
      </c>
      <c r="AB592" s="8">
        <f t="shared" si="191"/>
        <v>45291</v>
      </c>
      <c r="AC592" s="1">
        <v>31</v>
      </c>
      <c r="AD592" s="1">
        <f t="shared" si="192"/>
        <v>365</v>
      </c>
      <c r="AE592" s="1">
        <f t="shared" si="193"/>
        <v>0</v>
      </c>
      <c r="AF592" s="1">
        <f t="shared" si="194"/>
        <v>0</v>
      </c>
      <c r="AG592" s="1">
        <f t="shared" si="195"/>
        <v>0</v>
      </c>
      <c r="AH592" s="1">
        <f t="shared" si="196"/>
        <v>0</v>
      </c>
      <c r="AI592" s="5">
        <f t="shared" si="197"/>
        <v>1</v>
      </c>
      <c r="AJ592" s="5">
        <f t="shared" si="198"/>
        <v>0.78214285714285703</v>
      </c>
      <c r="AK592" s="5">
        <f t="shared" si="199"/>
        <v>24.246428571428567</v>
      </c>
      <c r="AL592" s="5">
        <f t="shared" si="200"/>
        <v>24.246428571428567</v>
      </c>
      <c r="AM592" s="5">
        <f t="shared" si="201"/>
        <v>0</v>
      </c>
      <c r="AN592" s="5">
        <f t="shared" si="202"/>
        <v>24.246428571428567</v>
      </c>
      <c r="AO592" s="1" t="s">
        <v>102</v>
      </c>
    </row>
    <row r="593" spans="1:41" x14ac:dyDescent="0.25">
      <c r="A593" s="1" t="s">
        <v>19</v>
      </c>
      <c r="B593" s="1" t="s">
        <v>37</v>
      </c>
      <c r="C593" s="1" t="s">
        <v>21</v>
      </c>
      <c r="D593" s="1" t="s">
        <v>38</v>
      </c>
      <c r="E593" s="1" t="s">
        <v>96</v>
      </c>
      <c r="F593" s="1" t="s">
        <v>103</v>
      </c>
      <c r="G593" s="1" t="s">
        <v>98</v>
      </c>
      <c r="H593" s="1" t="s">
        <v>566</v>
      </c>
      <c r="I593" s="1" t="s">
        <v>336</v>
      </c>
      <c r="J593" s="1" t="s">
        <v>101</v>
      </c>
      <c r="L593" s="1">
        <v>2885617</v>
      </c>
      <c r="M593" s="1" t="s">
        <v>802</v>
      </c>
      <c r="N593" s="8">
        <f t="shared" si="203"/>
        <v>44760</v>
      </c>
      <c r="O593" s="8">
        <f>DATE(2026,5,17)</f>
        <v>46159</v>
      </c>
      <c r="P593" s="1">
        <v>2600</v>
      </c>
      <c r="Q593" s="1">
        <v>2400</v>
      </c>
      <c r="R593" s="1">
        <f t="shared" si="185"/>
        <v>2400</v>
      </c>
      <c r="S593" s="1">
        <v>1</v>
      </c>
      <c r="U593" s="1">
        <f t="shared" si="186"/>
        <v>1400</v>
      </c>
      <c r="V593" s="7">
        <f t="shared" si="187"/>
        <v>1.7142857142857142</v>
      </c>
      <c r="W593" s="7">
        <f t="shared" si="188"/>
        <v>625.71428571428567</v>
      </c>
      <c r="X593" s="7">
        <f t="shared" si="189"/>
        <v>0.78214285714285703</v>
      </c>
      <c r="AA593" s="8">
        <f t="shared" si="190"/>
        <v>44927</v>
      </c>
      <c r="AB593" s="8">
        <f t="shared" si="191"/>
        <v>45291</v>
      </c>
      <c r="AC593" s="1">
        <v>17</v>
      </c>
      <c r="AD593" s="1">
        <f t="shared" si="192"/>
        <v>365</v>
      </c>
      <c r="AE593" s="1">
        <f t="shared" si="193"/>
        <v>0</v>
      </c>
      <c r="AF593" s="1">
        <f t="shared" si="194"/>
        <v>0</v>
      </c>
      <c r="AG593" s="1">
        <f t="shared" si="195"/>
        <v>0</v>
      </c>
      <c r="AH593" s="1">
        <f t="shared" si="196"/>
        <v>0</v>
      </c>
      <c r="AI593" s="5">
        <f t="shared" si="197"/>
        <v>1</v>
      </c>
      <c r="AJ593" s="5">
        <f t="shared" si="198"/>
        <v>0.78214285714285703</v>
      </c>
      <c r="AK593" s="5">
        <f t="shared" si="199"/>
        <v>13.296428571428569</v>
      </c>
      <c r="AL593" s="5">
        <f t="shared" si="200"/>
        <v>13.296428571428569</v>
      </c>
      <c r="AM593" s="5">
        <f t="shared" si="201"/>
        <v>0</v>
      </c>
      <c r="AN593" s="5">
        <f t="shared" si="202"/>
        <v>13.296428571428569</v>
      </c>
      <c r="AO593" s="1" t="s">
        <v>102</v>
      </c>
    </row>
    <row r="594" spans="1:41" x14ac:dyDescent="0.25">
      <c r="A594" s="1" t="s">
        <v>19</v>
      </c>
      <c r="B594" s="1" t="s">
        <v>37</v>
      </c>
      <c r="C594" s="1" t="s">
        <v>21</v>
      </c>
      <c r="D594" s="1" t="s">
        <v>38</v>
      </c>
      <c r="E594" s="1" t="s">
        <v>96</v>
      </c>
      <c r="F594" s="1" t="s">
        <v>103</v>
      </c>
      <c r="G594" s="1" t="s">
        <v>127</v>
      </c>
      <c r="H594" s="1" t="s">
        <v>525</v>
      </c>
      <c r="I594" s="1" t="s">
        <v>331</v>
      </c>
      <c r="J594" s="1" t="s">
        <v>101</v>
      </c>
      <c r="L594" s="1">
        <v>2885620</v>
      </c>
      <c r="M594" s="1" t="s">
        <v>803</v>
      </c>
      <c r="N594" s="8">
        <f t="shared" si="203"/>
        <v>44760</v>
      </c>
      <c r="O594" s="8">
        <f>DATE(2025,12,23)</f>
        <v>46014</v>
      </c>
      <c r="P594" s="1">
        <v>2614</v>
      </c>
      <c r="Q594" s="1">
        <v>2400</v>
      </c>
      <c r="R594" s="1">
        <f t="shared" si="185"/>
        <v>2400</v>
      </c>
      <c r="S594" s="1">
        <v>2.5</v>
      </c>
      <c r="U594" s="1">
        <f t="shared" si="186"/>
        <v>1255</v>
      </c>
      <c r="V594" s="7">
        <f t="shared" si="187"/>
        <v>1.9123505976095618</v>
      </c>
      <c r="W594" s="7">
        <f t="shared" si="188"/>
        <v>698.00796812749002</v>
      </c>
      <c r="X594" s="7">
        <f t="shared" si="189"/>
        <v>0.87250996015936255</v>
      </c>
      <c r="AA594" s="8">
        <f t="shared" si="190"/>
        <v>44927</v>
      </c>
      <c r="AB594" s="8">
        <f t="shared" si="191"/>
        <v>45291</v>
      </c>
      <c r="AC594" s="1">
        <v>17</v>
      </c>
      <c r="AD594" s="1">
        <f t="shared" si="192"/>
        <v>365</v>
      </c>
      <c r="AE594" s="1">
        <f t="shared" si="193"/>
        <v>0</v>
      </c>
      <c r="AF594" s="1">
        <f t="shared" si="194"/>
        <v>0</v>
      </c>
      <c r="AG594" s="1">
        <f t="shared" si="195"/>
        <v>0</v>
      </c>
      <c r="AH594" s="1">
        <f t="shared" si="196"/>
        <v>0</v>
      </c>
      <c r="AI594" s="5">
        <f t="shared" si="197"/>
        <v>1</v>
      </c>
      <c r="AJ594" s="5">
        <f t="shared" si="198"/>
        <v>0.87250996015936255</v>
      </c>
      <c r="AK594" s="5">
        <f t="shared" si="199"/>
        <v>14.832669322709163</v>
      </c>
      <c r="AL594" s="5">
        <f t="shared" si="200"/>
        <v>37.081673306772906</v>
      </c>
      <c r="AM594" s="5">
        <f t="shared" si="201"/>
        <v>0</v>
      </c>
      <c r="AN594" s="5">
        <f t="shared" si="202"/>
        <v>37.081673306772906</v>
      </c>
      <c r="AO594" s="1" t="s">
        <v>102</v>
      </c>
    </row>
    <row r="595" spans="1:41" x14ac:dyDescent="0.25">
      <c r="A595" s="1" t="s">
        <v>19</v>
      </c>
      <c r="B595" s="1" t="s">
        <v>37</v>
      </c>
      <c r="C595" s="1" t="s">
        <v>21</v>
      </c>
      <c r="D595" s="1" t="s">
        <v>38</v>
      </c>
      <c r="E595" s="1" t="s">
        <v>96</v>
      </c>
      <c r="F595" s="1" t="s">
        <v>103</v>
      </c>
      <c r="G595" s="1" t="s">
        <v>127</v>
      </c>
      <c r="H595" s="1" t="s">
        <v>555</v>
      </c>
      <c r="I595" s="1" t="s">
        <v>331</v>
      </c>
      <c r="J595" s="1" t="s">
        <v>101</v>
      </c>
      <c r="L595" s="1">
        <v>2885627</v>
      </c>
      <c r="M595" s="1" t="s">
        <v>804</v>
      </c>
      <c r="N595" s="8">
        <f t="shared" si="203"/>
        <v>44760</v>
      </c>
      <c r="O595" s="8">
        <f>DATE(2025,12,23)</f>
        <v>46014</v>
      </c>
      <c r="P595" s="1">
        <v>2562</v>
      </c>
      <c r="Q595" s="1">
        <v>2400</v>
      </c>
      <c r="R595" s="1">
        <f t="shared" si="185"/>
        <v>2400</v>
      </c>
      <c r="S595" s="1">
        <v>2.5</v>
      </c>
      <c r="U595" s="1">
        <f t="shared" si="186"/>
        <v>1255</v>
      </c>
      <c r="V595" s="7">
        <f t="shared" si="187"/>
        <v>1.9123505976095618</v>
      </c>
      <c r="W595" s="7">
        <f t="shared" si="188"/>
        <v>698.00796812749002</v>
      </c>
      <c r="X595" s="7">
        <f t="shared" si="189"/>
        <v>0.87250996015936255</v>
      </c>
      <c r="AA595" s="8">
        <f t="shared" si="190"/>
        <v>44927</v>
      </c>
      <c r="AB595" s="8">
        <f t="shared" si="191"/>
        <v>45291</v>
      </c>
      <c r="AC595" s="1">
        <v>14</v>
      </c>
      <c r="AD595" s="1">
        <f t="shared" si="192"/>
        <v>365</v>
      </c>
      <c r="AE595" s="1">
        <f t="shared" si="193"/>
        <v>0</v>
      </c>
      <c r="AF595" s="1">
        <f t="shared" si="194"/>
        <v>0</v>
      </c>
      <c r="AG595" s="1">
        <f t="shared" si="195"/>
        <v>0</v>
      </c>
      <c r="AH595" s="1">
        <f t="shared" si="196"/>
        <v>0</v>
      </c>
      <c r="AI595" s="5">
        <f t="shared" si="197"/>
        <v>1</v>
      </c>
      <c r="AJ595" s="5">
        <f t="shared" si="198"/>
        <v>0.87250996015936255</v>
      </c>
      <c r="AK595" s="5">
        <f t="shared" si="199"/>
        <v>12.215139442231076</v>
      </c>
      <c r="AL595" s="5">
        <f t="shared" si="200"/>
        <v>30.53784860557769</v>
      </c>
      <c r="AM595" s="5">
        <f t="shared" si="201"/>
        <v>0</v>
      </c>
      <c r="AN595" s="5">
        <f t="shared" si="202"/>
        <v>30.53784860557769</v>
      </c>
      <c r="AO595" s="1" t="s">
        <v>102</v>
      </c>
    </row>
    <row r="596" spans="1:41" x14ac:dyDescent="0.25">
      <c r="A596" s="1" t="s">
        <v>19</v>
      </c>
      <c r="B596" s="1" t="s">
        <v>37</v>
      </c>
      <c r="C596" s="1" t="s">
        <v>21</v>
      </c>
      <c r="D596" s="1" t="s">
        <v>38</v>
      </c>
      <c r="E596" s="1" t="s">
        <v>96</v>
      </c>
      <c r="F596" s="1" t="s">
        <v>103</v>
      </c>
      <c r="G596" s="1" t="s">
        <v>127</v>
      </c>
      <c r="H596" s="1" t="s">
        <v>562</v>
      </c>
      <c r="I596" s="1" t="s">
        <v>331</v>
      </c>
      <c r="J596" s="1" t="s">
        <v>101</v>
      </c>
      <c r="L596" s="1">
        <v>2885628</v>
      </c>
      <c r="M596" s="1" t="s">
        <v>805</v>
      </c>
      <c r="N596" s="8">
        <f t="shared" si="203"/>
        <v>44760</v>
      </c>
      <c r="O596" s="8">
        <f>DATE(2025,6,14)</f>
        <v>45822</v>
      </c>
      <c r="P596" s="1">
        <v>2480</v>
      </c>
      <c r="Q596" s="1">
        <v>2400</v>
      </c>
      <c r="R596" s="1">
        <f t="shared" si="185"/>
        <v>2400</v>
      </c>
      <c r="S596" s="1">
        <v>2.5</v>
      </c>
      <c r="U596" s="1">
        <f t="shared" si="186"/>
        <v>1063</v>
      </c>
      <c r="V596" s="7">
        <f t="shared" si="187"/>
        <v>2.2577610536218251</v>
      </c>
      <c r="W596" s="7">
        <f t="shared" si="188"/>
        <v>824.08278457196616</v>
      </c>
      <c r="X596" s="7">
        <f t="shared" si="189"/>
        <v>1.0301034807149576</v>
      </c>
      <c r="AA596" s="8">
        <f t="shared" si="190"/>
        <v>44927</v>
      </c>
      <c r="AB596" s="8">
        <f t="shared" si="191"/>
        <v>45291</v>
      </c>
      <c r="AC596" s="1">
        <v>24</v>
      </c>
      <c r="AD596" s="1">
        <f t="shared" si="192"/>
        <v>365</v>
      </c>
      <c r="AE596" s="1">
        <f t="shared" si="193"/>
        <v>0</v>
      </c>
      <c r="AF596" s="1">
        <f t="shared" si="194"/>
        <v>0</v>
      </c>
      <c r="AG596" s="1">
        <f t="shared" si="195"/>
        <v>0</v>
      </c>
      <c r="AH596" s="1">
        <f t="shared" si="196"/>
        <v>0</v>
      </c>
      <c r="AI596" s="5">
        <f t="shared" si="197"/>
        <v>1</v>
      </c>
      <c r="AJ596" s="5">
        <f t="shared" si="198"/>
        <v>1.0301034807149576</v>
      </c>
      <c r="AK596" s="5">
        <f t="shared" si="199"/>
        <v>24.722483537158983</v>
      </c>
      <c r="AL596" s="5">
        <f t="shared" si="200"/>
        <v>61.806208842897455</v>
      </c>
      <c r="AM596" s="5">
        <f t="shared" si="201"/>
        <v>0</v>
      </c>
      <c r="AN596" s="5">
        <f t="shared" si="202"/>
        <v>61.806208842897455</v>
      </c>
      <c r="AO596" s="1" t="s">
        <v>102</v>
      </c>
    </row>
    <row r="597" spans="1:41" x14ac:dyDescent="0.25">
      <c r="A597" s="1" t="s">
        <v>19</v>
      </c>
      <c r="B597" s="1" t="s">
        <v>37</v>
      </c>
      <c r="C597" s="1" t="s">
        <v>21</v>
      </c>
      <c r="D597" s="1" t="s">
        <v>38</v>
      </c>
      <c r="E597" s="1" t="s">
        <v>96</v>
      </c>
      <c r="F597" s="1" t="s">
        <v>103</v>
      </c>
      <c r="G597" s="1" t="s">
        <v>127</v>
      </c>
      <c r="H597" s="1" t="s">
        <v>518</v>
      </c>
      <c r="I597" s="1" t="s">
        <v>162</v>
      </c>
      <c r="J597" s="1" t="s">
        <v>101</v>
      </c>
      <c r="L597" s="1">
        <v>2885632</v>
      </c>
      <c r="M597" s="1" t="s">
        <v>806</v>
      </c>
      <c r="N597" s="8">
        <f t="shared" si="203"/>
        <v>44760</v>
      </c>
      <c r="O597" s="8">
        <f>DATE(2025,6,14)</f>
        <v>45822</v>
      </c>
      <c r="P597" s="1">
        <v>2062</v>
      </c>
      <c r="Q597" s="1">
        <v>2000</v>
      </c>
      <c r="R597" s="1">
        <f t="shared" si="185"/>
        <v>2000</v>
      </c>
      <c r="S597" s="1">
        <v>1.5</v>
      </c>
      <c r="U597" s="1">
        <f t="shared" si="186"/>
        <v>1063</v>
      </c>
      <c r="V597" s="7">
        <f t="shared" si="187"/>
        <v>1.8814675446848541</v>
      </c>
      <c r="W597" s="7">
        <f t="shared" si="188"/>
        <v>686.73565380997172</v>
      </c>
      <c r="X597" s="7">
        <f t="shared" si="189"/>
        <v>0.8584195672624646</v>
      </c>
      <c r="AA597" s="8">
        <f t="shared" si="190"/>
        <v>44927</v>
      </c>
      <c r="AB597" s="8">
        <f t="shared" si="191"/>
        <v>45291</v>
      </c>
      <c r="AC597" s="1">
        <v>17</v>
      </c>
      <c r="AD597" s="1">
        <f t="shared" si="192"/>
        <v>365</v>
      </c>
      <c r="AE597" s="1">
        <f t="shared" si="193"/>
        <v>0</v>
      </c>
      <c r="AF597" s="1">
        <f t="shared" si="194"/>
        <v>0</v>
      </c>
      <c r="AG597" s="1">
        <f t="shared" si="195"/>
        <v>0</v>
      </c>
      <c r="AH597" s="1">
        <f t="shared" si="196"/>
        <v>0</v>
      </c>
      <c r="AI597" s="5">
        <f t="shared" si="197"/>
        <v>1</v>
      </c>
      <c r="AJ597" s="5">
        <f t="shared" si="198"/>
        <v>0.8584195672624646</v>
      </c>
      <c r="AK597" s="5">
        <f t="shared" si="199"/>
        <v>14.593132643461898</v>
      </c>
      <c r="AL597" s="5">
        <f t="shared" si="200"/>
        <v>21.889698965192846</v>
      </c>
      <c r="AM597" s="5">
        <f t="shared" si="201"/>
        <v>0</v>
      </c>
      <c r="AN597" s="5">
        <f t="shared" si="202"/>
        <v>21.889698965192846</v>
      </c>
      <c r="AO597" s="1" t="s">
        <v>102</v>
      </c>
    </row>
    <row r="598" spans="1:41" x14ac:dyDescent="0.25">
      <c r="A598" s="1" t="s">
        <v>19</v>
      </c>
      <c r="B598" s="1" t="s">
        <v>37</v>
      </c>
      <c r="C598" s="1" t="s">
        <v>21</v>
      </c>
      <c r="D598" s="1" t="s">
        <v>38</v>
      </c>
      <c r="E598" s="1" t="s">
        <v>96</v>
      </c>
      <c r="F598" s="1" t="s">
        <v>103</v>
      </c>
      <c r="G598" s="1" t="s">
        <v>127</v>
      </c>
      <c r="H598" s="1" t="s">
        <v>528</v>
      </c>
      <c r="I598" s="1" t="s">
        <v>162</v>
      </c>
      <c r="J598" s="1" t="s">
        <v>101</v>
      </c>
      <c r="L598" s="1">
        <v>2885634</v>
      </c>
      <c r="M598" s="1" t="s">
        <v>807</v>
      </c>
      <c r="N598" s="8">
        <f t="shared" si="203"/>
        <v>44760</v>
      </c>
      <c r="O598" s="8">
        <f>DATE(2025,6,14)</f>
        <v>45822</v>
      </c>
      <c r="P598" s="1">
        <v>2062</v>
      </c>
      <c r="Q598" s="1">
        <v>2000</v>
      </c>
      <c r="R598" s="1">
        <f t="shared" si="185"/>
        <v>2000</v>
      </c>
      <c r="S598" s="1">
        <v>1</v>
      </c>
      <c r="U598" s="1">
        <f t="shared" si="186"/>
        <v>1063</v>
      </c>
      <c r="V598" s="7">
        <f t="shared" si="187"/>
        <v>1.8814675446848541</v>
      </c>
      <c r="W598" s="7">
        <f t="shared" si="188"/>
        <v>686.73565380997172</v>
      </c>
      <c r="X598" s="7">
        <f t="shared" si="189"/>
        <v>0.8584195672624646</v>
      </c>
      <c r="AA598" s="8">
        <f t="shared" si="190"/>
        <v>44927</v>
      </c>
      <c r="AB598" s="8">
        <f t="shared" si="191"/>
        <v>45291</v>
      </c>
      <c r="AC598" s="1">
        <v>25</v>
      </c>
      <c r="AD598" s="1">
        <f t="shared" si="192"/>
        <v>365</v>
      </c>
      <c r="AE598" s="1">
        <f t="shared" si="193"/>
        <v>0</v>
      </c>
      <c r="AF598" s="1">
        <f t="shared" si="194"/>
        <v>0</v>
      </c>
      <c r="AG598" s="1">
        <f t="shared" si="195"/>
        <v>0</v>
      </c>
      <c r="AH598" s="1">
        <f t="shared" si="196"/>
        <v>0</v>
      </c>
      <c r="AI598" s="5">
        <f t="shared" si="197"/>
        <v>1</v>
      </c>
      <c r="AJ598" s="5">
        <f t="shared" si="198"/>
        <v>0.8584195672624646</v>
      </c>
      <c r="AK598" s="5">
        <f t="shared" si="199"/>
        <v>21.460489181561616</v>
      </c>
      <c r="AL598" s="5">
        <f t="shared" si="200"/>
        <v>21.460489181561616</v>
      </c>
      <c r="AM598" s="5">
        <f t="shared" si="201"/>
        <v>0</v>
      </c>
      <c r="AN598" s="5">
        <f t="shared" si="202"/>
        <v>21.460489181561616</v>
      </c>
      <c r="AO598" s="1" t="s">
        <v>102</v>
      </c>
    </row>
    <row r="599" spans="1:41" x14ac:dyDescent="0.25">
      <c r="A599" s="1" t="s">
        <v>19</v>
      </c>
      <c r="B599" s="1" t="s">
        <v>37</v>
      </c>
      <c r="C599" s="1" t="s">
        <v>21</v>
      </c>
      <c r="D599" s="1" t="s">
        <v>38</v>
      </c>
      <c r="E599" s="1" t="s">
        <v>172</v>
      </c>
      <c r="F599" s="1" t="s">
        <v>534</v>
      </c>
      <c r="G599" s="1" t="s">
        <v>185</v>
      </c>
      <c r="H599" s="1" t="s">
        <v>493</v>
      </c>
      <c r="I599" s="1" t="s">
        <v>174</v>
      </c>
      <c r="J599" s="1" t="s">
        <v>101</v>
      </c>
      <c r="L599" s="1">
        <v>2918783</v>
      </c>
      <c r="M599" s="1" t="s">
        <v>808</v>
      </c>
      <c r="N599" s="8">
        <f>DATE(2022,11,14)</f>
        <v>44879</v>
      </c>
      <c r="O599" s="8">
        <f>DATE(2024,5,17)</f>
        <v>45429</v>
      </c>
      <c r="P599" s="1">
        <v>480</v>
      </c>
      <c r="Q599" s="1">
        <v>360</v>
      </c>
      <c r="R599" s="1">
        <f t="shared" si="185"/>
        <v>360</v>
      </c>
      <c r="S599" s="1">
        <v>2</v>
      </c>
      <c r="U599" s="1">
        <f t="shared" si="186"/>
        <v>551</v>
      </c>
      <c r="V599" s="7">
        <f t="shared" si="187"/>
        <v>0.65335753176043554</v>
      </c>
      <c r="W599" s="7">
        <f t="shared" si="188"/>
        <v>238.47549909255898</v>
      </c>
      <c r="X599" s="7">
        <f t="shared" si="189"/>
        <v>0.2980943738656987</v>
      </c>
      <c r="AA599" s="8">
        <f t="shared" si="190"/>
        <v>44927</v>
      </c>
      <c r="AB599" s="8">
        <f t="shared" si="191"/>
        <v>45291</v>
      </c>
      <c r="AC599" s="1">
        <v>24</v>
      </c>
      <c r="AD599" s="1">
        <f t="shared" si="192"/>
        <v>365</v>
      </c>
      <c r="AE599" s="1">
        <f t="shared" si="193"/>
        <v>0</v>
      </c>
      <c r="AF599" s="1">
        <f t="shared" si="194"/>
        <v>0</v>
      </c>
      <c r="AG599" s="1">
        <f t="shared" si="195"/>
        <v>0</v>
      </c>
      <c r="AH599" s="1">
        <f t="shared" si="196"/>
        <v>0</v>
      </c>
      <c r="AI599" s="5">
        <f t="shared" si="197"/>
        <v>1</v>
      </c>
      <c r="AJ599" s="5">
        <f t="shared" si="198"/>
        <v>0.2980943738656987</v>
      </c>
      <c r="AK599" s="5">
        <f t="shared" si="199"/>
        <v>7.1542649727767689</v>
      </c>
      <c r="AL599" s="5">
        <f t="shared" si="200"/>
        <v>14.308529945553538</v>
      </c>
      <c r="AM599" s="5">
        <f t="shared" si="201"/>
        <v>0</v>
      </c>
      <c r="AN599" s="5">
        <f t="shared" si="202"/>
        <v>14.308529945553538</v>
      </c>
      <c r="AO599" s="1" t="s">
        <v>111</v>
      </c>
    </row>
    <row r="600" spans="1:41" x14ac:dyDescent="0.25">
      <c r="A600" s="1" t="s">
        <v>19</v>
      </c>
      <c r="B600" s="1" t="s">
        <v>37</v>
      </c>
      <c r="C600" s="1" t="s">
        <v>21</v>
      </c>
      <c r="D600" s="1" t="s">
        <v>38</v>
      </c>
      <c r="E600" s="1" t="s">
        <v>172</v>
      </c>
      <c r="F600" s="1" t="s">
        <v>534</v>
      </c>
      <c r="G600" s="1" t="s">
        <v>185</v>
      </c>
      <c r="H600" s="1" t="s">
        <v>493</v>
      </c>
      <c r="I600" s="1" t="s">
        <v>174</v>
      </c>
      <c r="J600" s="1" t="s">
        <v>101</v>
      </c>
      <c r="L600" s="1">
        <v>2918850</v>
      </c>
      <c r="M600" s="1" t="s">
        <v>808</v>
      </c>
      <c r="N600" s="8">
        <f>DATE(2022,11,14)</f>
        <v>44879</v>
      </c>
      <c r="O600" s="8">
        <f>DATE(2024,5,17)</f>
        <v>45429</v>
      </c>
      <c r="P600" s="1">
        <v>360</v>
      </c>
      <c r="Q600" s="1">
        <v>360</v>
      </c>
      <c r="R600" s="1">
        <f t="shared" si="185"/>
        <v>360</v>
      </c>
      <c r="S600" s="1">
        <v>2</v>
      </c>
      <c r="U600" s="1">
        <f t="shared" si="186"/>
        <v>551</v>
      </c>
      <c r="V600" s="7">
        <f t="shared" si="187"/>
        <v>0.65335753176043554</v>
      </c>
      <c r="W600" s="7">
        <f t="shared" si="188"/>
        <v>238.47549909255898</v>
      </c>
      <c r="X600" s="7">
        <f t="shared" si="189"/>
        <v>0.2980943738656987</v>
      </c>
      <c r="AA600" s="8">
        <f t="shared" si="190"/>
        <v>44927</v>
      </c>
      <c r="AB600" s="8">
        <f t="shared" si="191"/>
        <v>45291</v>
      </c>
      <c r="AC600" s="1">
        <v>12</v>
      </c>
      <c r="AD600" s="1">
        <f t="shared" si="192"/>
        <v>365</v>
      </c>
      <c r="AE600" s="1">
        <f t="shared" si="193"/>
        <v>0</v>
      </c>
      <c r="AF600" s="1">
        <f t="shared" si="194"/>
        <v>0</v>
      </c>
      <c r="AG600" s="1">
        <f t="shared" si="195"/>
        <v>0</v>
      </c>
      <c r="AH600" s="1">
        <f t="shared" si="196"/>
        <v>0</v>
      </c>
      <c r="AI600" s="5">
        <f t="shared" si="197"/>
        <v>1</v>
      </c>
      <c r="AJ600" s="5">
        <f t="shared" si="198"/>
        <v>0.2980943738656987</v>
      </c>
      <c r="AK600" s="5">
        <f t="shared" si="199"/>
        <v>3.5771324863883844</v>
      </c>
      <c r="AL600" s="5">
        <f t="shared" si="200"/>
        <v>7.1542649727767689</v>
      </c>
      <c r="AM600" s="5">
        <f t="shared" si="201"/>
        <v>0</v>
      </c>
      <c r="AN600" s="5">
        <f t="shared" si="202"/>
        <v>7.1542649727767689</v>
      </c>
      <c r="AO600" s="1" t="s">
        <v>111</v>
      </c>
    </row>
    <row r="601" spans="1:41" x14ac:dyDescent="0.25">
      <c r="A601" s="1" t="s">
        <v>19</v>
      </c>
      <c r="B601" s="1" t="s">
        <v>37</v>
      </c>
      <c r="C601" s="1" t="s">
        <v>21</v>
      </c>
      <c r="D601" s="1" t="s">
        <v>38</v>
      </c>
      <c r="E601" s="1" t="s">
        <v>172</v>
      </c>
      <c r="F601" s="1" t="s">
        <v>534</v>
      </c>
      <c r="G601" s="1" t="s">
        <v>185</v>
      </c>
      <c r="H601" s="1" t="s">
        <v>620</v>
      </c>
      <c r="I601" s="1" t="s">
        <v>162</v>
      </c>
      <c r="J601" s="1" t="s">
        <v>101</v>
      </c>
      <c r="L601" s="1">
        <v>2918898</v>
      </c>
      <c r="M601" s="1" t="s">
        <v>809</v>
      </c>
      <c r="N601" s="8">
        <f>DATE(2022,11,14)</f>
        <v>44879</v>
      </c>
      <c r="O601" s="8">
        <f>DATE(2024,5,17)</f>
        <v>45429</v>
      </c>
      <c r="P601" s="1">
        <v>405</v>
      </c>
      <c r="Q601" s="1">
        <v>360</v>
      </c>
      <c r="R601" s="1">
        <f t="shared" si="185"/>
        <v>360</v>
      </c>
      <c r="S601" s="1">
        <v>1.5</v>
      </c>
      <c r="U601" s="1">
        <f t="shared" si="186"/>
        <v>551</v>
      </c>
      <c r="V601" s="7">
        <f t="shared" si="187"/>
        <v>0.65335753176043554</v>
      </c>
      <c r="W601" s="7">
        <f t="shared" si="188"/>
        <v>238.47549909255898</v>
      </c>
      <c r="X601" s="7">
        <f t="shared" si="189"/>
        <v>0.2980943738656987</v>
      </c>
      <c r="AA601" s="8">
        <f t="shared" si="190"/>
        <v>44927</v>
      </c>
      <c r="AB601" s="8">
        <f t="shared" si="191"/>
        <v>45291</v>
      </c>
      <c r="AC601" s="1">
        <v>21</v>
      </c>
      <c r="AD601" s="1">
        <f t="shared" si="192"/>
        <v>365</v>
      </c>
      <c r="AE601" s="1">
        <f t="shared" si="193"/>
        <v>0</v>
      </c>
      <c r="AF601" s="1">
        <f t="shared" si="194"/>
        <v>0</v>
      </c>
      <c r="AG601" s="1">
        <f t="shared" si="195"/>
        <v>0</v>
      </c>
      <c r="AH601" s="1">
        <f t="shared" si="196"/>
        <v>0</v>
      </c>
      <c r="AI601" s="5">
        <f t="shared" si="197"/>
        <v>1</v>
      </c>
      <c r="AJ601" s="5">
        <f t="shared" si="198"/>
        <v>0.2980943738656987</v>
      </c>
      <c r="AK601" s="5">
        <f t="shared" si="199"/>
        <v>6.2599818511796723</v>
      </c>
      <c r="AL601" s="5">
        <f t="shared" si="200"/>
        <v>9.3899727767695076</v>
      </c>
      <c r="AM601" s="5">
        <f t="shared" si="201"/>
        <v>0</v>
      </c>
      <c r="AN601" s="5">
        <f t="shared" si="202"/>
        <v>9.3899727767695076</v>
      </c>
      <c r="AO601" s="1" t="s">
        <v>111</v>
      </c>
    </row>
    <row r="602" spans="1:41" x14ac:dyDescent="0.25">
      <c r="A602" s="1" t="s">
        <v>19</v>
      </c>
      <c r="B602" s="1" t="s">
        <v>37</v>
      </c>
      <c r="C602" s="1" t="s">
        <v>21</v>
      </c>
      <c r="D602" s="1" t="s">
        <v>38</v>
      </c>
      <c r="E602" s="1" t="s">
        <v>172</v>
      </c>
      <c r="F602" s="1" t="s">
        <v>534</v>
      </c>
      <c r="G602" s="1" t="s">
        <v>185</v>
      </c>
      <c r="H602" s="1" t="s">
        <v>493</v>
      </c>
      <c r="I602" s="1" t="s">
        <v>174</v>
      </c>
      <c r="J602" s="1" t="s">
        <v>101</v>
      </c>
      <c r="L602" s="1">
        <v>2918769</v>
      </c>
      <c r="M602" s="1" t="s">
        <v>810</v>
      </c>
      <c r="N602" s="8">
        <f t="shared" ref="N602:N609" si="204">DATE(2022,11,15)</f>
        <v>44880</v>
      </c>
      <c r="O602" s="8">
        <f>DATE(2024,5,17)</f>
        <v>45429</v>
      </c>
      <c r="P602" s="1">
        <v>480</v>
      </c>
      <c r="Q602" s="1">
        <v>360</v>
      </c>
      <c r="R602" s="1">
        <f t="shared" si="185"/>
        <v>360</v>
      </c>
      <c r="S602" s="1">
        <v>2</v>
      </c>
      <c r="U602" s="1">
        <f t="shared" si="186"/>
        <v>550</v>
      </c>
      <c r="V602" s="7">
        <f t="shared" si="187"/>
        <v>0.65454545454545454</v>
      </c>
      <c r="W602" s="7">
        <f t="shared" si="188"/>
        <v>238.90909090909091</v>
      </c>
      <c r="X602" s="7">
        <f t="shared" si="189"/>
        <v>0.29863636363636364</v>
      </c>
      <c r="AA602" s="8">
        <f t="shared" si="190"/>
        <v>44927</v>
      </c>
      <c r="AB602" s="8">
        <f t="shared" si="191"/>
        <v>45291</v>
      </c>
      <c r="AC602" s="1">
        <v>25</v>
      </c>
      <c r="AD602" s="1">
        <f t="shared" si="192"/>
        <v>365</v>
      </c>
      <c r="AE602" s="1">
        <f t="shared" si="193"/>
        <v>0</v>
      </c>
      <c r="AF602" s="1">
        <f t="shared" si="194"/>
        <v>0</v>
      </c>
      <c r="AG602" s="1">
        <f t="shared" si="195"/>
        <v>0</v>
      </c>
      <c r="AH602" s="1">
        <f t="shared" si="196"/>
        <v>0</v>
      </c>
      <c r="AI602" s="5">
        <f t="shared" si="197"/>
        <v>1</v>
      </c>
      <c r="AJ602" s="5">
        <f t="shared" si="198"/>
        <v>0.29863636363636364</v>
      </c>
      <c r="AK602" s="5">
        <f t="shared" si="199"/>
        <v>7.4659090909090908</v>
      </c>
      <c r="AL602" s="5">
        <f t="shared" si="200"/>
        <v>14.931818181818182</v>
      </c>
      <c r="AM602" s="5">
        <f t="shared" si="201"/>
        <v>0</v>
      </c>
      <c r="AN602" s="5">
        <f t="shared" si="202"/>
        <v>14.931818181818182</v>
      </c>
      <c r="AO602" s="1" t="s">
        <v>111</v>
      </c>
    </row>
    <row r="603" spans="1:41" x14ac:dyDescent="0.25">
      <c r="A603" s="1" t="s">
        <v>19</v>
      </c>
      <c r="B603" s="1" t="s">
        <v>37</v>
      </c>
      <c r="C603" s="1" t="s">
        <v>21</v>
      </c>
      <c r="D603" s="1" t="s">
        <v>38</v>
      </c>
      <c r="E603" s="1" t="s">
        <v>172</v>
      </c>
      <c r="F603" s="1" t="s">
        <v>534</v>
      </c>
      <c r="G603" s="1" t="s">
        <v>185</v>
      </c>
      <c r="H603" s="1" t="s">
        <v>493</v>
      </c>
      <c r="I603" s="1" t="s">
        <v>174</v>
      </c>
      <c r="J603" s="1" t="s">
        <v>101</v>
      </c>
      <c r="L603" s="1">
        <v>2918800</v>
      </c>
      <c r="M603" s="1" t="s">
        <v>811</v>
      </c>
      <c r="N603" s="8">
        <f t="shared" si="204"/>
        <v>44880</v>
      </c>
      <c r="O603" s="8">
        <f>DATE(2024,5,16)</f>
        <v>45428</v>
      </c>
      <c r="P603" s="1">
        <v>480</v>
      </c>
      <c r="Q603" s="1">
        <v>360</v>
      </c>
      <c r="R603" s="1">
        <f t="shared" si="185"/>
        <v>360</v>
      </c>
      <c r="S603" s="1">
        <v>2</v>
      </c>
      <c r="U603" s="1">
        <f t="shared" si="186"/>
        <v>549</v>
      </c>
      <c r="V603" s="7">
        <f t="shared" si="187"/>
        <v>0.65573770491803274</v>
      </c>
      <c r="W603" s="7">
        <f t="shared" si="188"/>
        <v>239.34426229508196</v>
      </c>
      <c r="X603" s="7">
        <f t="shared" si="189"/>
        <v>0.29918032786885246</v>
      </c>
      <c r="AA603" s="8">
        <f t="shared" si="190"/>
        <v>44927</v>
      </c>
      <c r="AB603" s="8">
        <f t="shared" si="191"/>
        <v>45291</v>
      </c>
      <c r="AC603" s="1">
        <v>50</v>
      </c>
      <c r="AD603" s="1">
        <f t="shared" si="192"/>
        <v>365</v>
      </c>
      <c r="AE603" s="1">
        <f t="shared" si="193"/>
        <v>0</v>
      </c>
      <c r="AF603" s="1">
        <f t="shared" si="194"/>
        <v>0</v>
      </c>
      <c r="AG603" s="1">
        <f t="shared" si="195"/>
        <v>0</v>
      </c>
      <c r="AH603" s="1">
        <f t="shared" si="196"/>
        <v>0</v>
      </c>
      <c r="AI603" s="5">
        <f t="shared" si="197"/>
        <v>1</v>
      </c>
      <c r="AJ603" s="5">
        <f t="shared" si="198"/>
        <v>0.29918032786885246</v>
      </c>
      <c r="AK603" s="5">
        <f t="shared" si="199"/>
        <v>14.959016393442623</v>
      </c>
      <c r="AL603" s="5">
        <f t="shared" si="200"/>
        <v>29.918032786885245</v>
      </c>
      <c r="AM603" s="5">
        <f t="shared" si="201"/>
        <v>0</v>
      </c>
      <c r="AN603" s="5">
        <f t="shared" si="202"/>
        <v>29.918032786885245</v>
      </c>
      <c r="AO603" s="1" t="s">
        <v>111</v>
      </c>
    </row>
    <row r="604" spans="1:41" x14ac:dyDescent="0.25">
      <c r="A604" s="1" t="s">
        <v>19</v>
      </c>
      <c r="B604" s="1" t="s">
        <v>37</v>
      </c>
      <c r="C604" s="1" t="s">
        <v>21</v>
      </c>
      <c r="D604" s="1" t="s">
        <v>38</v>
      </c>
      <c r="E604" s="1" t="s">
        <v>172</v>
      </c>
      <c r="F604" s="1" t="s">
        <v>534</v>
      </c>
      <c r="G604" s="1" t="s">
        <v>185</v>
      </c>
      <c r="H604" s="1" t="s">
        <v>493</v>
      </c>
      <c r="I604" s="1" t="s">
        <v>174</v>
      </c>
      <c r="J604" s="1" t="s">
        <v>101</v>
      </c>
      <c r="L604" s="1">
        <v>2918812</v>
      </c>
      <c r="M604" s="1" t="s">
        <v>812</v>
      </c>
      <c r="N604" s="8">
        <f t="shared" si="204"/>
        <v>44880</v>
      </c>
      <c r="O604" s="8">
        <f>DATE(2024,5,20)</f>
        <v>45432</v>
      </c>
      <c r="P604" s="1">
        <v>480</v>
      </c>
      <c r="Q604" s="1">
        <v>360</v>
      </c>
      <c r="R604" s="1">
        <f t="shared" si="185"/>
        <v>360</v>
      </c>
      <c r="S604" s="1">
        <v>2</v>
      </c>
      <c r="U604" s="1">
        <f t="shared" si="186"/>
        <v>553</v>
      </c>
      <c r="V604" s="7">
        <f t="shared" si="187"/>
        <v>0.65099457504520797</v>
      </c>
      <c r="W604" s="7">
        <f t="shared" si="188"/>
        <v>237.6130198915009</v>
      </c>
      <c r="X604" s="7">
        <f t="shared" si="189"/>
        <v>0.2970162748643761</v>
      </c>
      <c r="AA604" s="8">
        <f t="shared" si="190"/>
        <v>44927</v>
      </c>
      <c r="AB604" s="8">
        <f t="shared" si="191"/>
        <v>45291</v>
      </c>
      <c r="AC604" s="1">
        <v>28</v>
      </c>
      <c r="AD604" s="1">
        <f t="shared" si="192"/>
        <v>365</v>
      </c>
      <c r="AE604" s="1">
        <f t="shared" si="193"/>
        <v>0</v>
      </c>
      <c r="AF604" s="1">
        <f t="shared" si="194"/>
        <v>0</v>
      </c>
      <c r="AG604" s="1">
        <f t="shared" si="195"/>
        <v>0</v>
      </c>
      <c r="AH604" s="1">
        <f t="shared" si="196"/>
        <v>0</v>
      </c>
      <c r="AI604" s="5">
        <f t="shared" si="197"/>
        <v>1</v>
      </c>
      <c r="AJ604" s="5">
        <f t="shared" si="198"/>
        <v>0.2970162748643761</v>
      </c>
      <c r="AK604" s="5">
        <f t="shared" si="199"/>
        <v>8.3164556962025316</v>
      </c>
      <c r="AL604" s="5">
        <f t="shared" si="200"/>
        <v>16.632911392405063</v>
      </c>
      <c r="AM604" s="5">
        <f t="shared" si="201"/>
        <v>0</v>
      </c>
      <c r="AN604" s="5">
        <f t="shared" si="202"/>
        <v>16.632911392405063</v>
      </c>
      <c r="AO604" s="1" t="s">
        <v>111</v>
      </c>
    </row>
    <row r="605" spans="1:41" x14ac:dyDescent="0.25">
      <c r="A605" s="1" t="s">
        <v>19</v>
      </c>
      <c r="B605" s="1" t="s">
        <v>37</v>
      </c>
      <c r="C605" s="1" t="s">
        <v>21</v>
      </c>
      <c r="D605" s="1" t="s">
        <v>38</v>
      </c>
      <c r="E605" s="1" t="s">
        <v>172</v>
      </c>
      <c r="F605" s="1" t="s">
        <v>534</v>
      </c>
      <c r="G605" s="1" t="s">
        <v>185</v>
      </c>
      <c r="H605" s="1" t="s">
        <v>493</v>
      </c>
      <c r="I605" s="1" t="s">
        <v>174</v>
      </c>
      <c r="J605" s="1" t="s">
        <v>101</v>
      </c>
      <c r="L605" s="1">
        <v>2918814</v>
      </c>
      <c r="M605" s="1" t="s">
        <v>813</v>
      </c>
      <c r="N605" s="8">
        <f t="shared" si="204"/>
        <v>44880</v>
      </c>
      <c r="O605" s="8">
        <f>DATE(2024,5,15)</f>
        <v>45427</v>
      </c>
      <c r="P605" s="1">
        <v>480</v>
      </c>
      <c r="Q605" s="1">
        <v>360</v>
      </c>
      <c r="R605" s="1">
        <f t="shared" si="185"/>
        <v>360</v>
      </c>
      <c r="S605" s="1">
        <v>2</v>
      </c>
      <c r="U605" s="1">
        <f t="shared" si="186"/>
        <v>548</v>
      </c>
      <c r="V605" s="7">
        <f t="shared" si="187"/>
        <v>0.65693430656934304</v>
      </c>
      <c r="W605" s="7">
        <f t="shared" si="188"/>
        <v>239.78102189781021</v>
      </c>
      <c r="X605" s="7">
        <f t="shared" si="189"/>
        <v>0.29972627737226276</v>
      </c>
      <c r="AA605" s="8">
        <f t="shared" si="190"/>
        <v>44927</v>
      </c>
      <c r="AB605" s="8">
        <f t="shared" si="191"/>
        <v>45291</v>
      </c>
      <c r="AC605" s="1">
        <v>27</v>
      </c>
      <c r="AD605" s="1">
        <f t="shared" si="192"/>
        <v>365</v>
      </c>
      <c r="AE605" s="1">
        <f t="shared" si="193"/>
        <v>0</v>
      </c>
      <c r="AF605" s="1">
        <f t="shared" si="194"/>
        <v>0</v>
      </c>
      <c r="AG605" s="1">
        <f t="shared" si="195"/>
        <v>0</v>
      </c>
      <c r="AH605" s="1">
        <f t="shared" si="196"/>
        <v>0</v>
      </c>
      <c r="AI605" s="5">
        <f t="shared" si="197"/>
        <v>1</v>
      </c>
      <c r="AJ605" s="5">
        <f t="shared" si="198"/>
        <v>0.29972627737226276</v>
      </c>
      <c r="AK605" s="5">
        <f t="shared" si="199"/>
        <v>8.0926094890510942</v>
      </c>
      <c r="AL605" s="5">
        <f t="shared" si="200"/>
        <v>16.185218978102188</v>
      </c>
      <c r="AM605" s="5">
        <f t="shared" si="201"/>
        <v>0</v>
      </c>
      <c r="AN605" s="5">
        <f t="shared" si="202"/>
        <v>16.185218978102188</v>
      </c>
      <c r="AO605" s="1" t="s">
        <v>111</v>
      </c>
    </row>
    <row r="606" spans="1:41" x14ac:dyDescent="0.25">
      <c r="A606" s="1" t="s">
        <v>19</v>
      </c>
      <c r="B606" s="1" t="s">
        <v>37</v>
      </c>
      <c r="C606" s="1" t="s">
        <v>21</v>
      </c>
      <c r="D606" s="1" t="s">
        <v>38</v>
      </c>
      <c r="E606" s="1" t="s">
        <v>172</v>
      </c>
      <c r="F606" s="1" t="s">
        <v>534</v>
      </c>
      <c r="G606" s="1" t="s">
        <v>185</v>
      </c>
      <c r="H606" s="1" t="s">
        <v>493</v>
      </c>
      <c r="I606" s="1" t="s">
        <v>174</v>
      </c>
      <c r="J606" s="1" t="s">
        <v>101</v>
      </c>
      <c r="L606" s="1">
        <v>2918820</v>
      </c>
      <c r="M606" s="1" t="s">
        <v>814</v>
      </c>
      <c r="N606" s="8">
        <f t="shared" si="204"/>
        <v>44880</v>
      </c>
      <c r="O606" s="8">
        <f>DATE(2024,5,21)</f>
        <v>45433</v>
      </c>
      <c r="P606" s="1">
        <v>480</v>
      </c>
      <c r="Q606" s="1">
        <v>360</v>
      </c>
      <c r="R606" s="1">
        <f t="shared" si="185"/>
        <v>360</v>
      </c>
      <c r="S606" s="1">
        <v>2</v>
      </c>
      <c r="U606" s="1">
        <f t="shared" si="186"/>
        <v>554</v>
      </c>
      <c r="V606" s="7">
        <f t="shared" si="187"/>
        <v>0.64981949458483756</v>
      </c>
      <c r="W606" s="7">
        <f t="shared" si="188"/>
        <v>237.18411552346572</v>
      </c>
      <c r="X606" s="7">
        <f t="shared" si="189"/>
        <v>0.29648014440433212</v>
      </c>
      <c r="AA606" s="8">
        <f t="shared" si="190"/>
        <v>44927</v>
      </c>
      <c r="AB606" s="8">
        <f t="shared" si="191"/>
        <v>45291</v>
      </c>
      <c r="AC606" s="1">
        <v>37</v>
      </c>
      <c r="AD606" s="1">
        <f t="shared" si="192"/>
        <v>365</v>
      </c>
      <c r="AE606" s="1">
        <f t="shared" si="193"/>
        <v>0</v>
      </c>
      <c r="AF606" s="1">
        <f t="shared" si="194"/>
        <v>0</v>
      </c>
      <c r="AG606" s="1">
        <f t="shared" si="195"/>
        <v>0</v>
      </c>
      <c r="AH606" s="1">
        <f t="shared" si="196"/>
        <v>0</v>
      </c>
      <c r="AI606" s="5">
        <f t="shared" si="197"/>
        <v>1</v>
      </c>
      <c r="AJ606" s="5">
        <f t="shared" si="198"/>
        <v>0.29648014440433212</v>
      </c>
      <c r="AK606" s="5">
        <f t="shared" si="199"/>
        <v>10.969765342960288</v>
      </c>
      <c r="AL606" s="5">
        <f t="shared" si="200"/>
        <v>21.939530685920577</v>
      </c>
      <c r="AM606" s="5">
        <f t="shared" si="201"/>
        <v>0</v>
      </c>
      <c r="AN606" s="5">
        <f t="shared" si="202"/>
        <v>21.939530685920577</v>
      </c>
      <c r="AO606" s="1" t="s">
        <v>111</v>
      </c>
    </row>
    <row r="607" spans="1:41" x14ac:dyDescent="0.25">
      <c r="A607" s="1" t="s">
        <v>19</v>
      </c>
      <c r="B607" s="1" t="s">
        <v>37</v>
      </c>
      <c r="C607" s="1" t="s">
        <v>21</v>
      </c>
      <c r="D607" s="1" t="s">
        <v>38</v>
      </c>
      <c r="E607" s="1" t="s">
        <v>172</v>
      </c>
      <c r="F607" s="1" t="s">
        <v>534</v>
      </c>
      <c r="G607" s="1" t="s">
        <v>185</v>
      </c>
      <c r="H607" s="1" t="s">
        <v>493</v>
      </c>
      <c r="I607" s="1" t="s">
        <v>174</v>
      </c>
      <c r="J607" s="1" t="s">
        <v>101</v>
      </c>
      <c r="L607" s="1">
        <v>2918848</v>
      </c>
      <c r="M607" s="1" t="s">
        <v>810</v>
      </c>
      <c r="N607" s="8">
        <f t="shared" si="204"/>
        <v>44880</v>
      </c>
      <c r="O607" s="8">
        <f>DATE(2024,5,17)</f>
        <v>45429</v>
      </c>
      <c r="P607" s="1">
        <v>360</v>
      </c>
      <c r="Q607" s="1">
        <v>360</v>
      </c>
      <c r="R607" s="1">
        <f t="shared" si="185"/>
        <v>360</v>
      </c>
      <c r="S607" s="1">
        <v>2</v>
      </c>
      <c r="U607" s="1">
        <f t="shared" si="186"/>
        <v>550</v>
      </c>
      <c r="V607" s="7">
        <f t="shared" si="187"/>
        <v>0.65454545454545454</v>
      </c>
      <c r="W607" s="7">
        <f t="shared" si="188"/>
        <v>238.90909090909091</v>
      </c>
      <c r="X607" s="7">
        <f t="shared" si="189"/>
        <v>0.29863636363636364</v>
      </c>
      <c r="AA607" s="8">
        <f t="shared" si="190"/>
        <v>44927</v>
      </c>
      <c r="AB607" s="8">
        <f t="shared" si="191"/>
        <v>45291</v>
      </c>
      <c r="AC607" s="1">
        <v>25</v>
      </c>
      <c r="AD607" s="1">
        <f t="shared" si="192"/>
        <v>365</v>
      </c>
      <c r="AE607" s="1">
        <f t="shared" si="193"/>
        <v>0</v>
      </c>
      <c r="AF607" s="1">
        <f t="shared" si="194"/>
        <v>0</v>
      </c>
      <c r="AG607" s="1">
        <f t="shared" si="195"/>
        <v>0</v>
      </c>
      <c r="AH607" s="1">
        <f t="shared" si="196"/>
        <v>0</v>
      </c>
      <c r="AI607" s="5">
        <f t="shared" si="197"/>
        <v>1</v>
      </c>
      <c r="AJ607" s="5">
        <f t="shared" si="198"/>
        <v>0.29863636363636364</v>
      </c>
      <c r="AK607" s="5">
        <f t="shared" si="199"/>
        <v>7.4659090909090908</v>
      </c>
      <c r="AL607" s="5">
        <f t="shared" si="200"/>
        <v>14.931818181818182</v>
      </c>
      <c r="AM607" s="5">
        <f t="shared" si="201"/>
        <v>0</v>
      </c>
      <c r="AN607" s="5">
        <f t="shared" si="202"/>
        <v>14.931818181818182</v>
      </c>
      <c r="AO607" s="1" t="s">
        <v>111</v>
      </c>
    </row>
    <row r="608" spans="1:41" x14ac:dyDescent="0.25">
      <c r="A608" s="1" t="s">
        <v>19</v>
      </c>
      <c r="B608" s="1" t="s">
        <v>37</v>
      </c>
      <c r="C608" s="1" t="s">
        <v>21</v>
      </c>
      <c r="D608" s="1" t="s">
        <v>38</v>
      </c>
      <c r="E608" s="1" t="s">
        <v>172</v>
      </c>
      <c r="F608" s="1" t="s">
        <v>534</v>
      </c>
      <c r="G608" s="1" t="s">
        <v>185</v>
      </c>
      <c r="H608" s="1" t="s">
        <v>493</v>
      </c>
      <c r="I608" s="1" t="s">
        <v>174</v>
      </c>
      <c r="J608" s="1" t="s">
        <v>101</v>
      </c>
      <c r="L608" s="1">
        <v>2918861</v>
      </c>
      <c r="M608" s="1" t="s">
        <v>811</v>
      </c>
      <c r="N608" s="8">
        <f t="shared" si="204"/>
        <v>44880</v>
      </c>
      <c r="O608" s="8">
        <f>DATE(2024,5,16)</f>
        <v>45428</v>
      </c>
      <c r="P608" s="1">
        <v>360</v>
      </c>
      <c r="Q608" s="1">
        <v>360</v>
      </c>
      <c r="R608" s="1">
        <f t="shared" si="185"/>
        <v>360</v>
      </c>
      <c r="S608" s="1">
        <v>2</v>
      </c>
      <c r="U608" s="1">
        <f t="shared" si="186"/>
        <v>549</v>
      </c>
      <c r="V608" s="7">
        <f t="shared" si="187"/>
        <v>0.65573770491803274</v>
      </c>
      <c r="W608" s="7">
        <f t="shared" si="188"/>
        <v>239.34426229508196</v>
      </c>
      <c r="X608" s="7">
        <f t="shared" si="189"/>
        <v>0.29918032786885246</v>
      </c>
      <c r="AA608" s="8">
        <f t="shared" si="190"/>
        <v>44927</v>
      </c>
      <c r="AB608" s="8">
        <f t="shared" si="191"/>
        <v>45291</v>
      </c>
      <c r="AC608" s="1">
        <v>26</v>
      </c>
      <c r="AD608" s="1">
        <f t="shared" si="192"/>
        <v>365</v>
      </c>
      <c r="AE608" s="1">
        <f t="shared" si="193"/>
        <v>0</v>
      </c>
      <c r="AF608" s="1">
        <f t="shared" si="194"/>
        <v>0</v>
      </c>
      <c r="AG608" s="1">
        <f t="shared" si="195"/>
        <v>0</v>
      </c>
      <c r="AH608" s="1">
        <f t="shared" si="196"/>
        <v>0</v>
      </c>
      <c r="AI608" s="5">
        <f t="shared" si="197"/>
        <v>1</v>
      </c>
      <c r="AJ608" s="5">
        <f t="shared" si="198"/>
        <v>0.29918032786885246</v>
      </c>
      <c r="AK608" s="5">
        <f t="shared" si="199"/>
        <v>7.778688524590164</v>
      </c>
      <c r="AL608" s="5">
        <f t="shared" si="200"/>
        <v>15.557377049180328</v>
      </c>
      <c r="AM608" s="5">
        <f t="shared" si="201"/>
        <v>0</v>
      </c>
      <c r="AN608" s="5">
        <f t="shared" si="202"/>
        <v>15.557377049180328</v>
      </c>
      <c r="AO608" s="1" t="s">
        <v>111</v>
      </c>
    </row>
    <row r="609" spans="1:41" x14ac:dyDescent="0.25">
      <c r="A609" s="1" t="s">
        <v>19</v>
      </c>
      <c r="B609" s="1" t="s">
        <v>37</v>
      </c>
      <c r="C609" s="1" t="s">
        <v>21</v>
      </c>
      <c r="D609" s="1" t="s">
        <v>38</v>
      </c>
      <c r="E609" s="1" t="s">
        <v>172</v>
      </c>
      <c r="F609" s="1" t="s">
        <v>534</v>
      </c>
      <c r="G609" s="1" t="s">
        <v>185</v>
      </c>
      <c r="H609" s="1" t="s">
        <v>620</v>
      </c>
      <c r="I609" s="1" t="s">
        <v>162</v>
      </c>
      <c r="J609" s="1" t="s">
        <v>101</v>
      </c>
      <c r="L609" s="1">
        <v>2918896</v>
      </c>
      <c r="M609" s="1" t="s">
        <v>815</v>
      </c>
      <c r="N609" s="8">
        <f t="shared" si="204"/>
        <v>44880</v>
      </c>
      <c r="O609" s="8">
        <f t="shared" ref="O609:O618" si="205">DATE(2024,5,17)</f>
        <v>45429</v>
      </c>
      <c r="P609" s="1">
        <v>405</v>
      </c>
      <c r="Q609" s="1">
        <v>360</v>
      </c>
      <c r="R609" s="1">
        <f t="shared" si="185"/>
        <v>360</v>
      </c>
      <c r="S609" s="1">
        <v>1.5</v>
      </c>
      <c r="U609" s="1">
        <f t="shared" si="186"/>
        <v>550</v>
      </c>
      <c r="V609" s="7">
        <f t="shared" si="187"/>
        <v>0.65454545454545454</v>
      </c>
      <c r="W609" s="7">
        <f t="shared" si="188"/>
        <v>238.90909090909091</v>
      </c>
      <c r="X609" s="7">
        <f t="shared" si="189"/>
        <v>0.29863636363636364</v>
      </c>
      <c r="AA609" s="8">
        <f t="shared" si="190"/>
        <v>44927</v>
      </c>
      <c r="AB609" s="8">
        <f t="shared" si="191"/>
        <v>45291</v>
      </c>
      <c r="AC609" s="1">
        <v>51</v>
      </c>
      <c r="AD609" s="1">
        <f t="shared" si="192"/>
        <v>365</v>
      </c>
      <c r="AE609" s="1">
        <f t="shared" si="193"/>
        <v>0</v>
      </c>
      <c r="AF609" s="1">
        <f t="shared" si="194"/>
        <v>0</v>
      </c>
      <c r="AG609" s="1">
        <f t="shared" si="195"/>
        <v>0</v>
      </c>
      <c r="AH609" s="1">
        <f t="shared" si="196"/>
        <v>0</v>
      </c>
      <c r="AI609" s="5">
        <f t="shared" si="197"/>
        <v>1</v>
      </c>
      <c r="AJ609" s="5">
        <f t="shared" si="198"/>
        <v>0.29863636363636364</v>
      </c>
      <c r="AK609" s="5">
        <f t="shared" si="199"/>
        <v>15.230454545454545</v>
      </c>
      <c r="AL609" s="5">
        <f t="shared" si="200"/>
        <v>22.845681818181816</v>
      </c>
      <c r="AM609" s="5">
        <f t="shared" si="201"/>
        <v>0</v>
      </c>
      <c r="AN609" s="5">
        <f t="shared" si="202"/>
        <v>22.845681818181816</v>
      </c>
      <c r="AO609" s="1" t="s">
        <v>111</v>
      </c>
    </row>
    <row r="610" spans="1:41" x14ac:dyDescent="0.25">
      <c r="A610" s="1" t="s">
        <v>19</v>
      </c>
      <c r="B610" s="1" t="s">
        <v>37</v>
      </c>
      <c r="C610" s="1" t="s">
        <v>21</v>
      </c>
      <c r="D610" s="1" t="s">
        <v>38</v>
      </c>
      <c r="E610" s="1" t="s">
        <v>172</v>
      </c>
      <c r="F610" s="1" t="s">
        <v>534</v>
      </c>
      <c r="G610" s="1" t="s">
        <v>185</v>
      </c>
      <c r="H610" s="1" t="s">
        <v>493</v>
      </c>
      <c r="I610" s="1" t="s">
        <v>174</v>
      </c>
      <c r="J610" s="1" t="s">
        <v>101</v>
      </c>
      <c r="L610" s="1">
        <v>2918791</v>
      </c>
      <c r="M610" s="1" t="s">
        <v>816</v>
      </c>
      <c r="N610" s="8">
        <f>DATE(2022,11,16)</f>
        <v>44881</v>
      </c>
      <c r="O610" s="8">
        <f t="shared" si="205"/>
        <v>45429</v>
      </c>
      <c r="P610" s="1">
        <v>480</v>
      </c>
      <c r="Q610" s="1">
        <v>360</v>
      </c>
      <c r="R610" s="1">
        <f t="shared" si="185"/>
        <v>360</v>
      </c>
      <c r="S610" s="1">
        <v>2</v>
      </c>
      <c r="U610" s="1">
        <f t="shared" si="186"/>
        <v>549</v>
      </c>
      <c r="V610" s="7">
        <f t="shared" si="187"/>
        <v>0.65573770491803274</v>
      </c>
      <c r="W610" s="7">
        <f t="shared" si="188"/>
        <v>239.34426229508196</v>
      </c>
      <c r="X610" s="7">
        <f t="shared" si="189"/>
        <v>0.29918032786885246</v>
      </c>
      <c r="AA610" s="8">
        <f t="shared" si="190"/>
        <v>44927</v>
      </c>
      <c r="AB610" s="8">
        <f t="shared" si="191"/>
        <v>45291</v>
      </c>
      <c r="AC610" s="1">
        <v>24</v>
      </c>
      <c r="AD610" s="1">
        <f t="shared" si="192"/>
        <v>365</v>
      </c>
      <c r="AE610" s="1">
        <f t="shared" si="193"/>
        <v>0</v>
      </c>
      <c r="AF610" s="1">
        <f t="shared" si="194"/>
        <v>0</v>
      </c>
      <c r="AG610" s="1">
        <f t="shared" si="195"/>
        <v>0</v>
      </c>
      <c r="AH610" s="1">
        <f t="shared" si="196"/>
        <v>0</v>
      </c>
      <c r="AI610" s="5">
        <f t="shared" si="197"/>
        <v>1</v>
      </c>
      <c r="AJ610" s="5">
        <f t="shared" si="198"/>
        <v>0.29918032786885246</v>
      </c>
      <c r="AK610" s="5">
        <f t="shared" si="199"/>
        <v>7.1803278688524586</v>
      </c>
      <c r="AL610" s="5">
        <f t="shared" si="200"/>
        <v>14.360655737704917</v>
      </c>
      <c r="AM610" s="5">
        <f t="shared" si="201"/>
        <v>0</v>
      </c>
      <c r="AN610" s="5">
        <f t="shared" si="202"/>
        <v>14.360655737704917</v>
      </c>
      <c r="AO610" s="1" t="s">
        <v>111</v>
      </c>
    </row>
    <row r="611" spans="1:41" x14ac:dyDescent="0.25">
      <c r="A611" s="1" t="s">
        <v>19</v>
      </c>
      <c r="B611" s="1" t="s">
        <v>37</v>
      </c>
      <c r="C611" s="1" t="s">
        <v>21</v>
      </c>
      <c r="D611" s="1" t="s">
        <v>38</v>
      </c>
      <c r="E611" s="1" t="s">
        <v>172</v>
      </c>
      <c r="F611" s="1" t="s">
        <v>534</v>
      </c>
      <c r="G611" s="1" t="s">
        <v>185</v>
      </c>
      <c r="H611" s="1" t="s">
        <v>493</v>
      </c>
      <c r="I611" s="1" t="s">
        <v>174</v>
      </c>
      <c r="J611" s="1" t="s">
        <v>101</v>
      </c>
      <c r="L611" s="1">
        <v>2918865</v>
      </c>
      <c r="M611" s="1" t="s">
        <v>816</v>
      </c>
      <c r="N611" s="8">
        <f>DATE(2022,11,16)</f>
        <v>44881</v>
      </c>
      <c r="O611" s="8">
        <f t="shared" si="205"/>
        <v>45429</v>
      </c>
      <c r="P611" s="1">
        <v>360</v>
      </c>
      <c r="Q611" s="1">
        <v>360</v>
      </c>
      <c r="R611" s="1">
        <f t="shared" si="185"/>
        <v>360</v>
      </c>
      <c r="S611" s="1">
        <v>2</v>
      </c>
      <c r="U611" s="1">
        <f t="shared" si="186"/>
        <v>549</v>
      </c>
      <c r="V611" s="7">
        <f t="shared" si="187"/>
        <v>0.65573770491803274</v>
      </c>
      <c r="W611" s="7">
        <f t="shared" si="188"/>
        <v>239.34426229508196</v>
      </c>
      <c r="X611" s="7">
        <f t="shared" si="189"/>
        <v>0.29918032786885246</v>
      </c>
      <c r="AA611" s="8">
        <f t="shared" si="190"/>
        <v>44927</v>
      </c>
      <c r="AB611" s="8">
        <f t="shared" si="191"/>
        <v>45291</v>
      </c>
      <c r="AC611" s="1">
        <v>29</v>
      </c>
      <c r="AD611" s="1">
        <f t="shared" si="192"/>
        <v>365</v>
      </c>
      <c r="AE611" s="1">
        <f t="shared" si="193"/>
        <v>0</v>
      </c>
      <c r="AF611" s="1">
        <f t="shared" si="194"/>
        <v>0</v>
      </c>
      <c r="AG611" s="1">
        <f t="shared" si="195"/>
        <v>0</v>
      </c>
      <c r="AH611" s="1">
        <f t="shared" si="196"/>
        <v>0</v>
      </c>
      <c r="AI611" s="5">
        <f t="shared" si="197"/>
        <v>1</v>
      </c>
      <c r="AJ611" s="5">
        <f t="shared" si="198"/>
        <v>0.29918032786885246</v>
      </c>
      <c r="AK611" s="5">
        <f t="shared" si="199"/>
        <v>8.6762295081967213</v>
      </c>
      <c r="AL611" s="5">
        <f t="shared" si="200"/>
        <v>17.352459016393443</v>
      </c>
      <c r="AM611" s="5">
        <f t="shared" si="201"/>
        <v>0</v>
      </c>
      <c r="AN611" s="5">
        <f t="shared" si="202"/>
        <v>17.352459016393443</v>
      </c>
      <c r="AO611" s="1" t="s">
        <v>111</v>
      </c>
    </row>
    <row r="612" spans="1:41" x14ac:dyDescent="0.25">
      <c r="A612" s="1" t="s">
        <v>19</v>
      </c>
      <c r="B612" s="1" t="s">
        <v>37</v>
      </c>
      <c r="C612" s="1" t="s">
        <v>21</v>
      </c>
      <c r="D612" s="1" t="s">
        <v>38</v>
      </c>
      <c r="E612" s="1" t="s">
        <v>172</v>
      </c>
      <c r="F612" s="1" t="s">
        <v>534</v>
      </c>
      <c r="G612" s="1" t="s">
        <v>185</v>
      </c>
      <c r="H612" s="1" t="s">
        <v>620</v>
      </c>
      <c r="I612" s="1" t="s">
        <v>162</v>
      </c>
      <c r="J612" s="1" t="s">
        <v>101</v>
      </c>
      <c r="L612" s="1">
        <v>2918900</v>
      </c>
      <c r="M612" s="1" t="s">
        <v>817</v>
      </c>
      <c r="N612" s="8">
        <f>DATE(2022,11,16)</f>
        <v>44881</v>
      </c>
      <c r="O612" s="8">
        <f t="shared" si="205"/>
        <v>45429</v>
      </c>
      <c r="P612" s="1">
        <v>405</v>
      </c>
      <c r="Q612" s="1">
        <v>360</v>
      </c>
      <c r="R612" s="1">
        <f t="shared" si="185"/>
        <v>360</v>
      </c>
      <c r="S612" s="1">
        <v>1.5</v>
      </c>
      <c r="U612" s="1">
        <f t="shared" si="186"/>
        <v>549</v>
      </c>
      <c r="V612" s="7">
        <f t="shared" si="187"/>
        <v>0.65573770491803274</v>
      </c>
      <c r="W612" s="7">
        <f t="shared" si="188"/>
        <v>239.34426229508196</v>
      </c>
      <c r="X612" s="7">
        <f t="shared" si="189"/>
        <v>0.29918032786885246</v>
      </c>
      <c r="AA612" s="8">
        <f t="shared" si="190"/>
        <v>44927</v>
      </c>
      <c r="AB612" s="8">
        <f t="shared" si="191"/>
        <v>45291</v>
      </c>
      <c r="AC612" s="1">
        <v>23</v>
      </c>
      <c r="AD612" s="1">
        <f t="shared" si="192"/>
        <v>365</v>
      </c>
      <c r="AE612" s="1">
        <f t="shared" si="193"/>
        <v>0</v>
      </c>
      <c r="AF612" s="1">
        <f t="shared" si="194"/>
        <v>0</v>
      </c>
      <c r="AG612" s="1">
        <f t="shared" si="195"/>
        <v>0</v>
      </c>
      <c r="AH612" s="1">
        <f t="shared" si="196"/>
        <v>0</v>
      </c>
      <c r="AI612" s="5">
        <f t="shared" si="197"/>
        <v>1</v>
      </c>
      <c r="AJ612" s="5">
        <f t="shared" si="198"/>
        <v>0.29918032786885246</v>
      </c>
      <c r="AK612" s="5">
        <f t="shared" si="199"/>
        <v>6.8811475409836067</v>
      </c>
      <c r="AL612" s="5">
        <f t="shared" si="200"/>
        <v>10.321721311475411</v>
      </c>
      <c r="AM612" s="5">
        <f t="shared" si="201"/>
        <v>0</v>
      </c>
      <c r="AN612" s="5">
        <f t="shared" si="202"/>
        <v>10.321721311475411</v>
      </c>
      <c r="AO612" s="1" t="s">
        <v>111</v>
      </c>
    </row>
    <row r="613" spans="1:41" x14ac:dyDescent="0.25">
      <c r="A613" s="1" t="s">
        <v>19</v>
      </c>
      <c r="B613" s="1" t="s">
        <v>37</v>
      </c>
      <c r="C613" s="1" t="s">
        <v>21</v>
      </c>
      <c r="D613" s="1" t="s">
        <v>38</v>
      </c>
      <c r="E613" s="1" t="s">
        <v>172</v>
      </c>
      <c r="F613" s="1" t="s">
        <v>534</v>
      </c>
      <c r="G613" s="1" t="s">
        <v>185</v>
      </c>
      <c r="H613" s="1" t="s">
        <v>493</v>
      </c>
      <c r="I613" s="1" t="s">
        <v>174</v>
      </c>
      <c r="J613" s="1" t="s">
        <v>101</v>
      </c>
      <c r="L613" s="1">
        <v>2918793</v>
      </c>
      <c r="M613" s="1" t="s">
        <v>818</v>
      </c>
      <c r="N613" s="8">
        <f>DATE(2022,11,17)</f>
        <v>44882</v>
      </c>
      <c r="O613" s="8">
        <f t="shared" si="205"/>
        <v>45429</v>
      </c>
      <c r="P613" s="1">
        <v>480</v>
      </c>
      <c r="Q613" s="1">
        <v>360</v>
      </c>
      <c r="R613" s="1">
        <f t="shared" si="185"/>
        <v>360</v>
      </c>
      <c r="S613" s="1">
        <v>2</v>
      </c>
      <c r="U613" s="1">
        <f t="shared" si="186"/>
        <v>548</v>
      </c>
      <c r="V613" s="7">
        <f t="shared" si="187"/>
        <v>0.65693430656934304</v>
      </c>
      <c r="W613" s="7">
        <f t="shared" si="188"/>
        <v>239.78102189781021</v>
      </c>
      <c r="X613" s="7">
        <f t="shared" si="189"/>
        <v>0.29972627737226276</v>
      </c>
      <c r="AA613" s="8">
        <f t="shared" si="190"/>
        <v>44927</v>
      </c>
      <c r="AB613" s="8">
        <f t="shared" si="191"/>
        <v>45291</v>
      </c>
      <c r="AC613" s="1">
        <v>28</v>
      </c>
      <c r="AD613" s="1">
        <f t="shared" si="192"/>
        <v>365</v>
      </c>
      <c r="AE613" s="1">
        <f t="shared" si="193"/>
        <v>0</v>
      </c>
      <c r="AF613" s="1">
        <f t="shared" si="194"/>
        <v>0</v>
      </c>
      <c r="AG613" s="1">
        <f t="shared" si="195"/>
        <v>0</v>
      </c>
      <c r="AH613" s="1">
        <f t="shared" si="196"/>
        <v>0</v>
      </c>
      <c r="AI613" s="5">
        <f t="shared" si="197"/>
        <v>1</v>
      </c>
      <c r="AJ613" s="5">
        <f t="shared" si="198"/>
        <v>0.29972627737226276</v>
      </c>
      <c r="AK613" s="5">
        <f t="shared" si="199"/>
        <v>8.3923357664233578</v>
      </c>
      <c r="AL613" s="5">
        <f t="shared" si="200"/>
        <v>16.784671532846716</v>
      </c>
      <c r="AM613" s="5">
        <f t="shared" si="201"/>
        <v>0</v>
      </c>
      <c r="AN613" s="5">
        <f t="shared" si="202"/>
        <v>16.784671532846716</v>
      </c>
      <c r="AO613" s="1" t="s">
        <v>111</v>
      </c>
    </row>
    <row r="614" spans="1:41" x14ac:dyDescent="0.25">
      <c r="A614" s="1" t="s">
        <v>19</v>
      </c>
      <c r="B614" s="1" t="s">
        <v>37</v>
      </c>
      <c r="C614" s="1" t="s">
        <v>21</v>
      </c>
      <c r="D614" s="1" t="s">
        <v>38</v>
      </c>
      <c r="E614" s="1" t="s">
        <v>172</v>
      </c>
      <c r="F614" s="1" t="s">
        <v>534</v>
      </c>
      <c r="G614" s="1" t="s">
        <v>185</v>
      </c>
      <c r="H614" s="1" t="s">
        <v>493</v>
      </c>
      <c r="I614" s="1" t="s">
        <v>174</v>
      </c>
      <c r="J614" s="1" t="s">
        <v>101</v>
      </c>
      <c r="L614" s="1">
        <v>2918867</v>
      </c>
      <c r="M614" s="1" t="s">
        <v>818</v>
      </c>
      <c r="N614" s="8">
        <f>DATE(2022,11,17)</f>
        <v>44882</v>
      </c>
      <c r="O614" s="8">
        <f t="shared" si="205"/>
        <v>45429</v>
      </c>
      <c r="P614" s="1">
        <v>360</v>
      </c>
      <c r="Q614" s="1">
        <v>360</v>
      </c>
      <c r="R614" s="1">
        <f t="shared" si="185"/>
        <v>360</v>
      </c>
      <c r="S614" s="1">
        <v>2</v>
      </c>
      <c r="U614" s="1">
        <f t="shared" si="186"/>
        <v>548</v>
      </c>
      <c r="V614" s="7">
        <f t="shared" si="187"/>
        <v>0.65693430656934304</v>
      </c>
      <c r="W614" s="7">
        <f t="shared" si="188"/>
        <v>239.78102189781021</v>
      </c>
      <c r="X614" s="7">
        <f t="shared" si="189"/>
        <v>0.29972627737226276</v>
      </c>
      <c r="AA614" s="8">
        <f t="shared" si="190"/>
        <v>44927</v>
      </c>
      <c r="AB614" s="8">
        <f t="shared" si="191"/>
        <v>45291</v>
      </c>
      <c r="AC614" s="1">
        <v>26</v>
      </c>
      <c r="AD614" s="1">
        <f t="shared" si="192"/>
        <v>365</v>
      </c>
      <c r="AE614" s="1">
        <f t="shared" si="193"/>
        <v>0</v>
      </c>
      <c r="AF614" s="1">
        <f t="shared" si="194"/>
        <v>0</v>
      </c>
      <c r="AG614" s="1">
        <f t="shared" si="195"/>
        <v>0</v>
      </c>
      <c r="AH614" s="1">
        <f t="shared" si="196"/>
        <v>0</v>
      </c>
      <c r="AI614" s="5">
        <f t="shared" si="197"/>
        <v>1</v>
      </c>
      <c r="AJ614" s="5">
        <f t="shared" si="198"/>
        <v>0.29972627737226276</v>
      </c>
      <c r="AK614" s="5">
        <f t="shared" si="199"/>
        <v>7.7928832116788316</v>
      </c>
      <c r="AL614" s="5">
        <f t="shared" si="200"/>
        <v>15.585766423357663</v>
      </c>
      <c r="AM614" s="5">
        <f t="shared" si="201"/>
        <v>0</v>
      </c>
      <c r="AN614" s="5">
        <f t="shared" si="202"/>
        <v>15.585766423357663</v>
      </c>
      <c r="AO614" s="1" t="s">
        <v>111</v>
      </c>
    </row>
    <row r="615" spans="1:41" x14ac:dyDescent="0.25">
      <c r="A615" s="1" t="s">
        <v>19</v>
      </c>
      <c r="B615" s="1" t="s">
        <v>37</v>
      </c>
      <c r="C615" s="1" t="s">
        <v>21</v>
      </c>
      <c r="D615" s="1" t="s">
        <v>38</v>
      </c>
      <c r="E615" s="1" t="s">
        <v>172</v>
      </c>
      <c r="F615" s="1" t="s">
        <v>534</v>
      </c>
      <c r="G615" s="1" t="s">
        <v>185</v>
      </c>
      <c r="H615" s="1" t="s">
        <v>620</v>
      </c>
      <c r="I615" s="1" t="s">
        <v>162</v>
      </c>
      <c r="J615" s="1" t="s">
        <v>101</v>
      </c>
      <c r="L615" s="1">
        <v>2918907</v>
      </c>
      <c r="M615" s="1" t="s">
        <v>819</v>
      </c>
      <c r="N615" s="8">
        <f>DATE(2022,11,17)</f>
        <v>44882</v>
      </c>
      <c r="O615" s="8">
        <f t="shared" si="205"/>
        <v>45429</v>
      </c>
      <c r="P615" s="1">
        <v>405</v>
      </c>
      <c r="Q615" s="1">
        <v>360</v>
      </c>
      <c r="R615" s="1">
        <f t="shared" si="185"/>
        <v>360</v>
      </c>
      <c r="S615" s="1">
        <v>1.5</v>
      </c>
      <c r="U615" s="1">
        <f t="shared" si="186"/>
        <v>548</v>
      </c>
      <c r="V615" s="7">
        <f t="shared" si="187"/>
        <v>0.65693430656934304</v>
      </c>
      <c r="W615" s="7">
        <f t="shared" si="188"/>
        <v>239.78102189781021</v>
      </c>
      <c r="X615" s="7">
        <f t="shared" si="189"/>
        <v>0.29972627737226276</v>
      </c>
      <c r="AA615" s="8">
        <f t="shared" si="190"/>
        <v>44927</v>
      </c>
      <c r="AB615" s="8">
        <f t="shared" si="191"/>
        <v>45291</v>
      </c>
      <c r="AC615" s="1">
        <v>28</v>
      </c>
      <c r="AD615" s="1">
        <f t="shared" si="192"/>
        <v>365</v>
      </c>
      <c r="AE615" s="1">
        <f t="shared" si="193"/>
        <v>0</v>
      </c>
      <c r="AF615" s="1">
        <f t="shared" si="194"/>
        <v>0</v>
      </c>
      <c r="AG615" s="1">
        <f t="shared" si="195"/>
        <v>0</v>
      </c>
      <c r="AH615" s="1">
        <f t="shared" si="196"/>
        <v>0</v>
      </c>
      <c r="AI615" s="5">
        <f t="shared" si="197"/>
        <v>1</v>
      </c>
      <c r="AJ615" s="5">
        <f t="shared" si="198"/>
        <v>0.29972627737226276</v>
      </c>
      <c r="AK615" s="5">
        <f t="shared" si="199"/>
        <v>8.3923357664233578</v>
      </c>
      <c r="AL615" s="5">
        <f t="shared" si="200"/>
        <v>12.588503649635037</v>
      </c>
      <c r="AM615" s="5">
        <f t="shared" si="201"/>
        <v>0</v>
      </c>
      <c r="AN615" s="5">
        <f t="shared" si="202"/>
        <v>12.588503649635037</v>
      </c>
      <c r="AO615" s="1" t="s">
        <v>111</v>
      </c>
    </row>
    <row r="616" spans="1:41" x14ac:dyDescent="0.25">
      <c r="A616" s="1" t="s">
        <v>19</v>
      </c>
      <c r="B616" s="1" t="s">
        <v>37</v>
      </c>
      <c r="C616" s="1" t="s">
        <v>21</v>
      </c>
      <c r="D616" s="1" t="s">
        <v>38</v>
      </c>
      <c r="E616" s="1" t="s">
        <v>172</v>
      </c>
      <c r="F616" s="1" t="s">
        <v>534</v>
      </c>
      <c r="G616" s="1" t="s">
        <v>185</v>
      </c>
      <c r="H616" s="1" t="s">
        <v>493</v>
      </c>
      <c r="I616" s="1" t="s">
        <v>174</v>
      </c>
      <c r="J616" s="1" t="s">
        <v>101</v>
      </c>
      <c r="L616" s="1">
        <v>2918804</v>
      </c>
      <c r="M616" s="1" t="s">
        <v>820</v>
      </c>
      <c r="N616" s="8">
        <f>DATE(2022,11,18)</f>
        <v>44883</v>
      </c>
      <c r="O616" s="8">
        <f t="shared" si="205"/>
        <v>45429</v>
      </c>
      <c r="P616" s="1">
        <v>480</v>
      </c>
      <c r="Q616" s="1">
        <v>360</v>
      </c>
      <c r="R616" s="1">
        <f t="shared" si="185"/>
        <v>360</v>
      </c>
      <c r="S616" s="1">
        <v>2</v>
      </c>
      <c r="U616" s="1">
        <f t="shared" si="186"/>
        <v>547</v>
      </c>
      <c r="V616" s="7">
        <f t="shared" si="187"/>
        <v>0.65813528336380256</v>
      </c>
      <c r="W616" s="7">
        <f t="shared" si="188"/>
        <v>240.21937842778794</v>
      </c>
      <c r="X616" s="7">
        <f t="shared" si="189"/>
        <v>0.30027422303473494</v>
      </c>
      <c r="AA616" s="8">
        <f t="shared" si="190"/>
        <v>44927</v>
      </c>
      <c r="AB616" s="8">
        <f t="shared" si="191"/>
        <v>45291</v>
      </c>
      <c r="AC616" s="1">
        <v>17</v>
      </c>
      <c r="AD616" s="1">
        <f t="shared" si="192"/>
        <v>365</v>
      </c>
      <c r="AE616" s="1">
        <f t="shared" si="193"/>
        <v>0</v>
      </c>
      <c r="AF616" s="1">
        <f t="shared" si="194"/>
        <v>0</v>
      </c>
      <c r="AG616" s="1">
        <f t="shared" si="195"/>
        <v>0</v>
      </c>
      <c r="AH616" s="1">
        <f t="shared" si="196"/>
        <v>0</v>
      </c>
      <c r="AI616" s="5">
        <f t="shared" si="197"/>
        <v>1</v>
      </c>
      <c r="AJ616" s="5">
        <f t="shared" si="198"/>
        <v>0.30027422303473494</v>
      </c>
      <c r="AK616" s="5">
        <f t="shared" si="199"/>
        <v>5.1046617915904937</v>
      </c>
      <c r="AL616" s="5">
        <f t="shared" si="200"/>
        <v>10.209323583180987</v>
      </c>
      <c r="AM616" s="5">
        <f t="shared" si="201"/>
        <v>0</v>
      </c>
      <c r="AN616" s="5">
        <f t="shared" si="202"/>
        <v>10.209323583180987</v>
      </c>
      <c r="AO616" s="1" t="s">
        <v>111</v>
      </c>
    </row>
    <row r="617" spans="1:41" x14ac:dyDescent="0.25">
      <c r="A617" s="1" t="s">
        <v>19</v>
      </c>
      <c r="B617" s="1" t="s">
        <v>37</v>
      </c>
      <c r="C617" s="1" t="s">
        <v>21</v>
      </c>
      <c r="D617" s="1" t="s">
        <v>38</v>
      </c>
      <c r="E617" s="1" t="s">
        <v>172</v>
      </c>
      <c r="F617" s="1" t="s">
        <v>534</v>
      </c>
      <c r="G617" s="1" t="s">
        <v>185</v>
      </c>
      <c r="H617" s="1" t="s">
        <v>493</v>
      </c>
      <c r="I617" s="1" t="s">
        <v>174</v>
      </c>
      <c r="J617" s="1" t="s">
        <v>101</v>
      </c>
      <c r="L617" s="1">
        <v>2918871</v>
      </c>
      <c r="M617" s="1" t="s">
        <v>820</v>
      </c>
      <c r="N617" s="8">
        <f>DATE(2022,11,18)</f>
        <v>44883</v>
      </c>
      <c r="O617" s="8">
        <f t="shared" si="205"/>
        <v>45429</v>
      </c>
      <c r="P617" s="1">
        <v>360</v>
      </c>
      <c r="Q617" s="1">
        <v>360</v>
      </c>
      <c r="R617" s="1">
        <f t="shared" si="185"/>
        <v>360</v>
      </c>
      <c r="S617" s="1">
        <v>2</v>
      </c>
      <c r="U617" s="1">
        <f t="shared" si="186"/>
        <v>547</v>
      </c>
      <c r="V617" s="7">
        <f t="shared" si="187"/>
        <v>0.65813528336380256</v>
      </c>
      <c r="W617" s="7">
        <f t="shared" si="188"/>
        <v>240.21937842778794</v>
      </c>
      <c r="X617" s="7">
        <f t="shared" si="189"/>
        <v>0.30027422303473494</v>
      </c>
      <c r="AA617" s="8">
        <f t="shared" si="190"/>
        <v>44927</v>
      </c>
      <c r="AB617" s="8">
        <f t="shared" si="191"/>
        <v>45291</v>
      </c>
      <c r="AC617" s="1">
        <v>31</v>
      </c>
      <c r="AD617" s="1">
        <f t="shared" si="192"/>
        <v>365</v>
      </c>
      <c r="AE617" s="1">
        <f t="shared" si="193"/>
        <v>0</v>
      </c>
      <c r="AF617" s="1">
        <f t="shared" si="194"/>
        <v>0</v>
      </c>
      <c r="AG617" s="1">
        <f t="shared" si="195"/>
        <v>0</v>
      </c>
      <c r="AH617" s="1">
        <f t="shared" si="196"/>
        <v>0</v>
      </c>
      <c r="AI617" s="5">
        <f t="shared" si="197"/>
        <v>1</v>
      </c>
      <c r="AJ617" s="5">
        <f t="shared" si="198"/>
        <v>0.30027422303473494</v>
      </c>
      <c r="AK617" s="5">
        <f t="shared" si="199"/>
        <v>9.3085009140767827</v>
      </c>
      <c r="AL617" s="5">
        <f t="shared" si="200"/>
        <v>18.617001828153565</v>
      </c>
      <c r="AM617" s="5">
        <f t="shared" si="201"/>
        <v>0</v>
      </c>
      <c r="AN617" s="5">
        <f t="shared" si="202"/>
        <v>18.617001828153565</v>
      </c>
      <c r="AO617" s="1" t="s">
        <v>111</v>
      </c>
    </row>
    <row r="618" spans="1:41" x14ac:dyDescent="0.25">
      <c r="A618" s="1" t="s">
        <v>19</v>
      </c>
      <c r="B618" s="1" t="s">
        <v>37</v>
      </c>
      <c r="C618" s="1" t="s">
        <v>21</v>
      </c>
      <c r="D618" s="1" t="s">
        <v>38</v>
      </c>
      <c r="E618" s="1" t="s">
        <v>172</v>
      </c>
      <c r="F618" s="1" t="s">
        <v>534</v>
      </c>
      <c r="G618" s="1" t="s">
        <v>185</v>
      </c>
      <c r="H618" s="1" t="s">
        <v>620</v>
      </c>
      <c r="I618" s="1" t="s">
        <v>162</v>
      </c>
      <c r="J618" s="1" t="s">
        <v>101</v>
      </c>
      <c r="L618" s="1">
        <v>2918911</v>
      </c>
      <c r="M618" s="1" t="s">
        <v>821</v>
      </c>
      <c r="N618" s="8">
        <f>DATE(2022,11,18)</f>
        <v>44883</v>
      </c>
      <c r="O618" s="8">
        <f t="shared" si="205"/>
        <v>45429</v>
      </c>
      <c r="P618" s="1">
        <v>405</v>
      </c>
      <c r="Q618" s="1">
        <v>360</v>
      </c>
      <c r="R618" s="1">
        <f t="shared" si="185"/>
        <v>360</v>
      </c>
      <c r="S618" s="1">
        <v>1.5</v>
      </c>
      <c r="U618" s="1">
        <f t="shared" si="186"/>
        <v>547</v>
      </c>
      <c r="V618" s="7">
        <f t="shared" si="187"/>
        <v>0.65813528336380256</v>
      </c>
      <c r="W618" s="7">
        <f t="shared" si="188"/>
        <v>240.21937842778794</v>
      </c>
      <c r="X618" s="7">
        <f t="shared" si="189"/>
        <v>0.30027422303473494</v>
      </c>
      <c r="AA618" s="8">
        <f t="shared" si="190"/>
        <v>44927</v>
      </c>
      <c r="AB618" s="8">
        <f t="shared" si="191"/>
        <v>45291</v>
      </c>
      <c r="AC618" s="1">
        <v>22</v>
      </c>
      <c r="AD618" s="1">
        <f t="shared" si="192"/>
        <v>365</v>
      </c>
      <c r="AE618" s="1">
        <f t="shared" si="193"/>
        <v>0</v>
      </c>
      <c r="AF618" s="1">
        <f t="shared" si="194"/>
        <v>0</v>
      </c>
      <c r="AG618" s="1">
        <f t="shared" si="195"/>
        <v>0</v>
      </c>
      <c r="AH618" s="1">
        <f t="shared" si="196"/>
        <v>0</v>
      </c>
      <c r="AI618" s="5">
        <f t="shared" si="197"/>
        <v>1</v>
      </c>
      <c r="AJ618" s="5">
        <f t="shared" si="198"/>
        <v>0.30027422303473494</v>
      </c>
      <c r="AK618" s="5">
        <f t="shared" si="199"/>
        <v>6.6060329067641685</v>
      </c>
      <c r="AL618" s="5">
        <f t="shared" si="200"/>
        <v>9.9090493601462519</v>
      </c>
      <c r="AM618" s="5">
        <f t="shared" si="201"/>
        <v>0</v>
      </c>
      <c r="AN618" s="5">
        <f t="shared" si="202"/>
        <v>9.9090493601462519</v>
      </c>
      <c r="AO618" s="1" t="s">
        <v>111</v>
      </c>
    </row>
    <row r="619" spans="1:41" x14ac:dyDescent="0.25">
      <c r="A619" s="1" t="s">
        <v>19</v>
      </c>
      <c r="B619" s="1" t="s">
        <v>37</v>
      </c>
      <c r="C619" s="1" t="s">
        <v>21</v>
      </c>
      <c r="D619" s="1" t="s">
        <v>38</v>
      </c>
      <c r="E619" s="1" t="s">
        <v>96</v>
      </c>
      <c r="F619" s="1" t="s">
        <v>103</v>
      </c>
      <c r="G619" s="1" t="s">
        <v>114</v>
      </c>
      <c r="H619" s="1" t="s">
        <v>574</v>
      </c>
      <c r="I619" s="1" t="s">
        <v>331</v>
      </c>
      <c r="J619" s="1" t="s">
        <v>101</v>
      </c>
      <c r="K619" s="1" t="s">
        <v>116</v>
      </c>
      <c r="L619" s="1">
        <v>2944825</v>
      </c>
      <c r="M619" s="1" t="s">
        <v>822</v>
      </c>
      <c r="N619" s="8">
        <f t="shared" ref="N619:N639" si="206">DATE(2023,1,30)</f>
        <v>44956</v>
      </c>
      <c r="O619" s="8">
        <f>DATE(2026,12,23)</f>
        <v>46379</v>
      </c>
      <c r="P619" s="1">
        <v>3672</v>
      </c>
      <c r="Q619" s="1">
        <v>1200</v>
      </c>
      <c r="R619" s="1">
        <f t="shared" si="185"/>
        <v>3200</v>
      </c>
      <c r="S619" s="1">
        <v>2.5</v>
      </c>
      <c r="U619" s="1">
        <f t="shared" si="186"/>
        <v>1424</v>
      </c>
      <c r="V619" s="7">
        <f t="shared" si="187"/>
        <v>2.2471910112359552</v>
      </c>
      <c r="W619" s="7">
        <f t="shared" si="188"/>
        <v>820.2247191011237</v>
      </c>
      <c r="X619" s="7">
        <f t="shared" si="189"/>
        <v>1.0252808988764046</v>
      </c>
      <c r="AA619" s="8">
        <f t="shared" si="190"/>
        <v>44927</v>
      </c>
      <c r="AB619" s="8">
        <f t="shared" si="191"/>
        <v>45291</v>
      </c>
      <c r="AC619" s="1">
        <v>51</v>
      </c>
      <c r="AD619" s="1">
        <f t="shared" si="192"/>
        <v>0</v>
      </c>
      <c r="AE619" s="1">
        <f t="shared" si="193"/>
        <v>336</v>
      </c>
      <c r="AF619" s="1">
        <f t="shared" si="194"/>
        <v>0</v>
      </c>
      <c r="AG619" s="1">
        <f t="shared" si="195"/>
        <v>0</v>
      </c>
      <c r="AH619" s="1">
        <f t="shared" si="196"/>
        <v>0</v>
      </c>
      <c r="AI619" s="5">
        <f t="shared" si="197"/>
        <v>0.92054794520547945</v>
      </c>
      <c r="AJ619" s="5">
        <f t="shared" si="198"/>
        <v>0.94382022471910121</v>
      </c>
      <c r="AK619" s="5">
        <f t="shared" si="199"/>
        <v>48.134831460674164</v>
      </c>
      <c r="AL619" s="5">
        <f t="shared" si="200"/>
        <v>120.3370786516854</v>
      </c>
      <c r="AM619" s="5">
        <f t="shared" si="201"/>
        <v>0</v>
      </c>
      <c r="AN619" s="5">
        <f t="shared" si="202"/>
        <v>120.3370786516854</v>
      </c>
      <c r="AO619" s="1" t="s">
        <v>102</v>
      </c>
    </row>
    <row r="620" spans="1:41" x14ac:dyDescent="0.25">
      <c r="A620" s="1" t="s">
        <v>19</v>
      </c>
      <c r="B620" s="1" t="s">
        <v>37</v>
      </c>
      <c r="C620" s="1" t="s">
        <v>21</v>
      </c>
      <c r="D620" s="1" t="s">
        <v>38</v>
      </c>
      <c r="E620" s="1" t="s">
        <v>96</v>
      </c>
      <c r="F620" s="1" t="s">
        <v>103</v>
      </c>
      <c r="G620" s="1" t="s">
        <v>114</v>
      </c>
      <c r="H620" s="1" t="s">
        <v>569</v>
      </c>
      <c r="I620" s="1" t="s">
        <v>331</v>
      </c>
      <c r="J620" s="1" t="s">
        <v>101</v>
      </c>
      <c r="K620" s="1" t="s">
        <v>116</v>
      </c>
      <c r="L620" s="1">
        <v>2944968</v>
      </c>
      <c r="M620" s="1" t="s">
        <v>823</v>
      </c>
      <c r="N620" s="8">
        <f t="shared" si="206"/>
        <v>44956</v>
      </c>
      <c r="O620" s="8">
        <f>DATE(2026,12,23)</f>
        <v>46379</v>
      </c>
      <c r="P620" s="1">
        <v>3672</v>
      </c>
      <c r="Q620" s="1">
        <v>1200</v>
      </c>
      <c r="R620" s="1">
        <f t="shared" si="185"/>
        <v>3200</v>
      </c>
      <c r="S620" s="1">
        <v>2.5</v>
      </c>
      <c r="U620" s="1">
        <f t="shared" si="186"/>
        <v>1424</v>
      </c>
      <c r="V620" s="7">
        <f t="shared" si="187"/>
        <v>2.2471910112359552</v>
      </c>
      <c r="W620" s="7">
        <f t="shared" si="188"/>
        <v>820.2247191011237</v>
      </c>
      <c r="X620" s="7">
        <f t="shared" si="189"/>
        <v>1.0252808988764046</v>
      </c>
      <c r="AA620" s="8">
        <f t="shared" si="190"/>
        <v>44927</v>
      </c>
      <c r="AB620" s="8">
        <f t="shared" si="191"/>
        <v>45291</v>
      </c>
      <c r="AC620" s="1">
        <v>52</v>
      </c>
      <c r="AD620" s="1">
        <f t="shared" si="192"/>
        <v>0</v>
      </c>
      <c r="AE620" s="1">
        <f t="shared" si="193"/>
        <v>336</v>
      </c>
      <c r="AF620" s="1">
        <f t="shared" si="194"/>
        <v>0</v>
      </c>
      <c r="AG620" s="1">
        <f t="shared" si="195"/>
        <v>0</v>
      </c>
      <c r="AH620" s="1">
        <f t="shared" si="196"/>
        <v>0</v>
      </c>
      <c r="AI620" s="5">
        <f t="shared" si="197"/>
        <v>0.92054794520547945</v>
      </c>
      <c r="AJ620" s="5">
        <f t="shared" si="198"/>
        <v>0.94382022471910121</v>
      </c>
      <c r="AK620" s="5">
        <f t="shared" si="199"/>
        <v>49.078651685393261</v>
      </c>
      <c r="AL620" s="5">
        <f t="shared" si="200"/>
        <v>122.69662921348315</v>
      </c>
      <c r="AM620" s="5">
        <f t="shared" si="201"/>
        <v>0</v>
      </c>
      <c r="AN620" s="5">
        <f t="shared" si="202"/>
        <v>122.69662921348315</v>
      </c>
      <c r="AO620" s="1" t="s">
        <v>102</v>
      </c>
    </row>
    <row r="621" spans="1:41" x14ac:dyDescent="0.25">
      <c r="A621" s="1" t="s">
        <v>19</v>
      </c>
      <c r="B621" s="1" t="s">
        <v>37</v>
      </c>
      <c r="C621" s="1" t="s">
        <v>21</v>
      </c>
      <c r="D621" s="1" t="s">
        <v>38</v>
      </c>
      <c r="E621" s="1" t="s">
        <v>96</v>
      </c>
      <c r="F621" s="1" t="s">
        <v>103</v>
      </c>
      <c r="G621" s="1" t="s">
        <v>114</v>
      </c>
      <c r="H621" s="1" t="s">
        <v>590</v>
      </c>
      <c r="I621" s="1" t="s">
        <v>210</v>
      </c>
      <c r="J621" s="1" t="s">
        <v>101</v>
      </c>
      <c r="K621" s="1" t="s">
        <v>116</v>
      </c>
      <c r="L621" s="1">
        <v>2944969</v>
      </c>
      <c r="M621" s="1" t="s">
        <v>824</v>
      </c>
      <c r="N621" s="8">
        <f t="shared" si="206"/>
        <v>44956</v>
      </c>
      <c r="O621" s="8">
        <f>DATE(2025,12,23)</f>
        <v>46014</v>
      </c>
      <c r="P621" s="1">
        <v>3332</v>
      </c>
      <c r="Q621" s="1">
        <v>1200</v>
      </c>
      <c r="R621" s="1">
        <f t="shared" si="185"/>
        <v>3200</v>
      </c>
      <c r="S621" s="1">
        <v>2.5</v>
      </c>
      <c r="U621" s="1">
        <f t="shared" si="186"/>
        <v>1059</v>
      </c>
      <c r="V621" s="7">
        <f t="shared" si="187"/>
        <v>3.0217186024551466</v>
      </c>
      <c r="W621" s="7">
        <f t="shared" si="188"/>
        <v>1102.9272898961285</v>
      </c>
      <c r="X621" s="7">
        <f t="shared" si="189"/>
        <v>1.3786591123701606</v>
      </c>
      <c r="AA621" s="8">
        <f t="shared" si="190"/>
        <v>44927</v>
      </c>
      <c r="AB621" s="8">
        <f t="shared" si="191"/>
        <v>45291</v>
      </c>
      <c r="AC621" s="1">
        <v>61</v>
      </c>
      <c r="AD621" s="1">
        <f t="shared" si="192"/>
        <v>0</v>
      </c>
      <c r="AE621" s="1">
        <f t="shared" si="193"/>
        <v>336</v>
      </c>
      <c r="AF621" s="1">
        <f t="shared" si="194"/>
        <v>0</v>
      </c>
      <c r="AG621" s="1">
        <f t="shared" si="195"/>
        <v>0</v>
      </c>
      <c r="AH621" s="1">
        <f t="shared" si="196"/>
        <v>0</v>
      </c>
      <c r="AI621" s="5">
        <f t="shared" si="197"/>
        <v>0.92054794520547945</v>
      </c>
      <c r="AJ621" s="5">
        <f t="shared" si="198"/>
        <v>1.2691218130311614</v>
      </c>
      <c r="AK621" s="5">
        <f t="shared" si="199"/>
        <v>77.416430594900845</v>
      </c>
      <c r="AL621" s="5">
        <f t="shared" si="200"/>
        <v>193.5410764872521</v>
      </c>
      <c r="AM621" s="5">
        <f t="shared" si="201"/>
        <v>0</v>
      </c>
      <c r="AN621" s="5">
        <f t="shared" si="202"/>
        <v>193.5410764872521</v>
      </c>
      <c r="AO621" s="1" t="s">
        <v>102</v>
      </c>
    </row>
    <row r="622" spans="1:41" x14ac:dyDescent="0.25">
      <c r="A622" s="1" t="s">
        <v>19</v>
      </c>
      <c r="B622" s="1" t="s">
        <v>37</v>
      </c>
      <c r="C622" s="1" t="s">
        <v>21</v>
      </c>
      <c r="D622" s="1" t="s">
        <v>38</v>
      </c>
      <c r="E622" s="1" t="s">
        <v>96</v>
      </c>
      <c r="F622" s="1" t="s">
        <v>103</v>
      </c>
      <c r="G622" s="1" t="s">
        <v>114</v>
      </c>
      <c r="H622" s="1" t="s">
        <v>592</v>
      </c>
      <c r="I622" s="1" t="s">
        <v>210</v>
      </c>
      <c r="J622" s="1" t="s">
        <v>101</v>
      </c>
      <c r="K622" s="1" t="s">
        <v>116</v>
      </c>
      <c r="L622" s="1">
        <v>2944970</v>
      </c>
      <c r="M622" s="1" t="s">
        <v>825</v>
      </c>
      <c r="N622" s="8">
        <f t="shared" si="206"/>
        <v>44956</v>
      </c>
      <c r="O622" s="8">
        <f>DATE(2025,12,23)</f>
        <v>46014</v>
      </c>
      <c r="P622" s="1">
        <v>3332</v>
      </c>
      <c r="Q622" s="1">
        <v>1200</v>
      </c>
      <c r="R622" s="1">
        <f t="shared" si="185"/>
        <v>3200</v>
      </c>
      <c r="S622" s="1">
        <v>2.5</v>
      </c>
      <c r="U622" s="1">
        <f t="shared" si="186"/>
        <v>1059</v>
      </c>
      <c r="V622" s="7">
        <f t="shared" si="187"/>
        <v>3.0217186024551466</v>
      </c>
      <c r="W622" s="7">
        <f t="shared" si="188"/>
        <v>1102.9272898961285</v>
      </c>
      <c r="X622" s="7">
        <f t="shared" si="189"/>
        <v>1.3786591123701606</v>
      </c>
      <c r="AA622" s="8">
        <f t="shared" si="190"/>
        <v>44927</v>
      </c>
      <c r="AB622" s="8">
        <f t="shared" si="191"/>
        <v>45291</v>
      </c>
      <c r="AC622" s="1">
        <v>55</v>
      </c>
      <c r="AD622" s="1">
        <f t="shared" si="192"/>
        <v>0</v>
      </c>
      <c r="AE622" s="1">
        <f t="shared" si="193"/>
        <v>336</v>
      </c>
      <c r="AF622" s="1">
        <f t="shared" si="194"/>
        <v>0</v>
      </c>
      <c r="AG622" s="1">
        <f t="shared" si="195"/>
        <v>0</v>
      </c>
      <c r="AH622" s="1">
        <f t="shared" si="196"/>
        <v>0</v>
      </c>
      <c r="AI622" s="5">
        <f t="shared" si="197"/>
        <v>0.92054794520547945</v>
      </c>
      <c r="AJ622" s="5">
        <f t="shared" si="198"/>
        <v>1.2691218130311614</v>
      </c>
      <c r="AK622" s="5">
        <f t="shared" si="199"/>
        <v>69.801699716713884</v>
      </c>
      <c r="AL622" s="5">
        <f t="shared" si="200"/>
        <v>174.5042492917847</v>
      </c>
      <c r="AM622" s="5">
        <f t="shared" si="201"/>
        <v>0</v>
      </c>
      <c r="AN622" s="5">
        <f t="shared" si="202"/>
        <v>174.5042492917847</v>
      </c>
      <c r="AO622" s="1" t="s">
        <v>102</v>
      </c>
    </row>
    <row r="623" spans="1:41" x14ac:dyDescent="0.25">
      <c r="A623" s="1" t="s">
        <v>19</v>
      </c>
      <c r="B623" s="1" t="s">
        <v>37</v>
      </c>
      <c r="C623" s="1" t="s">
        <v>21</v>
      </c>
      <c r="D623" s="1" t="s">
        <v>38</v>
      </c>
      <c r="E623" s="1" t="s">
        <v>96</v>
      </c>
      <c r="F623" s="1" t="s">
        <v>103</v>
      </c>
      <c r="G623" s="1" t="s">
        <v>114</v>
      </c>
      <c r="H623" s="1" t="s">
        <v>577</v>
      </c>
      <c r="I623" s="1" t="s">
        <v>336</v>
      </c>
      <c r="J623" s="1" t="s">
        <v>101</v>
      </c>
      <c r="K623" s="1" t="s">
        <v>116</v>
      </c>
      <c r="L623" s="1">
        <v>2944971</v>
      </c>
      <c r="M623" s="1" t="s">
        <v>826</v>
      </c>
      <c r="N623" s="8">
        <f t="shared" si="206"/>
        <v>44956</v>
      </c>
      <c r="O623" s="8">
        <f>DATE(2025,12,23)</f>
        <v>46014</v>
      </c>
      <c r="P623" s="1">
        <v>3060</v>
      </c>
      <c r="Q623" s="1">
        <v>800</v>
      </c>
      <c r="R623" s="1">
        <f t="shared" si="185"/>
        <v>3000</v>
      </c>
      <c r="S623" s="1">
        <v>1.5</v>
      </c>
      <c r="U623" s="1">
        <f t="shared" si="186"/>
        <v>1059</v>
      </c>
      <c r="V623" s="7">
        <f t="shared" si="187"/>
        <v>2.8328611898016995</v>
      </c>
      <c r="W623" s="7">
        <f t="shared" si="188"/>
        <v>1033.9943342776203</v>
      </c>
      <c r="X623" s="7">
        <f t="shared" si="189"/>
        <v>1.2924929178470252</v>
      </c>
      <c r="AA623" s="8">
        <f t="shared" si="190"/>
        <v>44927</v>
      </c>
      <c r="AB623" s="8">
        <f t="shared" si="191"/>
        <v>45291</v>
      </c>
      <c r="AC623" s="1">
        <v>70</v>
      </c>
      <c r="AD623" s="1">
        <f t="shared" si="192"/>
        <v>0</v>
      </c>
      <c r="AE623" s="1">
        <f t="shared" si="193"/>
        <v>336</v>
      </c>
      <c r="AF623" s="1">
        <f t="shared" si="194"/>
        <v>0</v>
      </c>
      <c r="AG623" s="1">
        <f t="shared" si="195"/>
        <v>0</v>
      </c>
      <c r="AH623" s="1">
        <f t="shared" si="196"/>
        <v>0</v>
      </c>
      <c r="AI623" s="5">
        <f t="shared" si="197"/>
        <v>0.92054794520547945</v>
      </c>
      <c r="AJ623" s="5">
        <f t="shared" si="198"/>
        <v>1.1898016997167136</v>
      </c>
      <c r="AK623" s="5">
        <f t="shared" si="199"/>
        <v>83.286118980169945</v>
      </c>
      <c r="AL623" s="5">
        <f t="shared" si="200"/>
        <v>124.92917847025493</v>
      </c>
      <c r="AM623" s="5">
        <f t="shared" si="201"/>
        <v>0</v>
      </c>
      <c r="AN623" s="5">
        <f t="shared" si="202"/>
        <v>124.92917847025493</v>
      </c>
      <c r="AO623" s="1" t="s">
        <v>102</v>
      </c>
    </row>
    <row r="624" spans="1:41" x14ac:dyDescent="0.25">
      <c r="A624" s="1" t="s">
        <v>19</v>
      </c>
      <c r="B624" s="1" t="s">
        <v>37</v>
      </c>
      <c r="C624" s="1" t="s">
        <v>21</v>
      </c>
      <c r="D624" s="1" t="s">
        <v>38</v>
      </c>
      <c r="E624" s="1" t="s">
        <v>96</v>
      </c>
      <c r="F624" s="1" t="s">
        <v>103</v>
      </c>
      <c r="G624" s="1" t="s">
        <v>114</v>
      </c>
      <c r="H624" s="1" t="s">
        <v>247</v>
      </c>
      <c r="I624" s="1" t="s">
        <v>162</v>
      </c>
      <c r="J624" s="1" t="s">
        <v>101</v>
      </c>
      <c r="K624" s="1" t="s">
        <v>116</v>
      </c>
      <c r="L624" s="1">
        <v>2944972</v>
      </c>
      <c r="M624" s="1" t="s">
        <v>827</v>
      </c>
      <c r="N624" s="8">
        <f t="shared" si="206"/>
        <v>44956</v>
      </c>
      <c r="O624" s="8">
        <f>DATE(2025,12,23)</f>
        <v>46014</v>
      </c>
      <c r="P624" s="1">
        <v>3740</v>
      </c>
      <c r="Q624" s="1">
        <v>1200</v>
      </c>
      <c r="R624" s="1">
        <f t="shared" si="185"/>
        <v>3200</v>
      </c>
      <c r="S624" s="1">
        <v>1.5</v>
      </c>
      <c r="U624" s="1">
        <f t="shared" si="186"/>
        <v>1059</v>
      </c>
      <c r="V624" s="7">
        <f t="shared" si="187"/>
        <v>3.0217186024551466</v>
      </c>
      <c r="W624" s="7">
        <f t="shared" si="188"/>
        <v>1102.9272898961285</v>
      </c>
      <c r="X624" s="7">
        <f t="shared" si="189"/>
        <v>1.3786591123701606</v>
      </c>
      <c r="AA624" s="8">
        <f t="shared" si="190"/>
        <v>44927</v>
      </c>
      <c r="AB624" s="8">
        <f t="shared" si="191"/>
        <v>45291</v>
      </c>
      <c r="AC624" s="1">
        <v>70</v>
      </c>
      <c r="AD624" s="1">
        <f t="shared" si="192"/>
        <v>0</v>
      </c>
      <c r="AE624" s="1">
        <f t="shared" si="193"/>
        <v>336</v>
      </c>
      <c r="AF624" s="1">
        <f t="shared" si="194"/>
        <v>0</v>
      </c>
      <c r="AG624" s="1">
        <f t="shared" si="195"/>
        <v>0</v>
      </c>
      <c r="AH624" s="1">
        <f t="shared" si="196"/>
        <v>0</v>
      </c>
      <c r="AI624" s="5">
        <f t="shared" si="197"/>
        <v>0.92054794520547945</v>
      </c>
      <c r="AJ624" s="5">
        <f t="shared" si="198"/>
        <v>1.2691218130311614</v>
      </c>
      <c r="AK624" s="5">
        <f t="shared" si="199"/>
        <v>88.838526912181308</v>
      </c>
      <c r="AL624" s="5">
        <f t="shared" si="200"/>
        <v>133.25779036827197</v>
      </c>
      <c r="AM624" s="5">
        <f t="shared" si="201"/>
        <v>0</v>
      </c>
      <c r="AN624" s="5">
        <f t="shared" si="202"/>
        <v>133.25779036827197</v>
      </c>
      <c r="AO624" s="1" t="s">
        <v>102</v>
      </c>
    </row>
    <row r="625" spans="1:41" x14ac:dyDescent="0.25">
      <c r="A625" s="1" t="s">
        <v>19</v>
      </c>
      <c r="B625" s="1" t="s">
        <v>37</v>
      </c>
      <c r="C625" s="1" t="s">
        <v>21</v>
      </c>
      <c r="D625" s="1" t="s">
        <v>38</v>
      </c>
      <c r="E625" s="1" t="s">
        <v>96</v>
      </c>
      <c r="F625" s="1" t="s">
        <v>103</v>
      </c>
      <c r="G625" s="1" t="s">
        <v>114</v>
      </c>
      <c r="H625" s="1" t="s">
        <v>260</v>
      </c>
      <c r="I625" s="1" t="s">
        <v>100</v>
      </c>
      <c r="J625" s="1" t="s">
        <v>101</v>
      </c>
      <c r="K625" s="1" t="s">
        <v>116</v>
      </c>
      <c r="L625" s="1">
        <v>2944973</v>
      </c>
      <c r="M625" s="1" t="s">
        <v>828</v>
      </c>
      <c r="N625" s="8">
        <f t="shared" si="206"/>
        <v>44956</v>
      </c>
      <c r="O625" s="8">
        <f>DATE(2025,12,23)</f>
        <v>46014</v>
      </c>
      <c r="P625" s="1">
        <v>3973</v>
      </c>
      <c r="Q625" s="1">
        <v>800</v>
      </c>
      <c r="R625" s="1">
        <f t="shared" si="185"/>
        <v>3000</v>
      </c>
      <c r="S625" s="1">
        <v>1.5</v>
      </c>
      <c r="U625" s="1">
        <f t="shared" si="186"/>
        <v>1059</v>
      </c>
      <c r="V625" s="7">
        <f t="shared" si="187"/>
        <v>2.8328611898016995</v>
      </c>
      <c r="W625" s="7">
        <f t="shared" si="188"/>
        <v>1033.9943342776203</v>
      </c>
      <c r="X625" s="7">
        <f t="shared" si="189"/>
        <v>1.2924929178470252</v>
      </c>
      <c r="AA625" s="8">
        <f t="shared" si="190"/>
        <v>44927</v>
      </c>
      <c r="AB625" s="8">
        <f t="shared" si="191"/>
        <v>45291</v>
      </c>
      <c r="AC625" s="1">
        <v>69</v>
      </c>
      <c r="AD625" s="1">
        <f t="shared" si="192"/>
        <v>0</v>
      </c>
      <c r="AE625" s="1">
        <f t="shared" si="193"/>
        <v>336</v>
      </c>
      <c r="AF625" s="1">
        <f t="shared" si="194"/>
        <v>0</v>
      </c>
      <c r="AG625" s="1">
        <f t="shared" si="195"/>
        <v>0</v>
      </c>
      <c r="AH625" s="1">
        <f t="shared" si="196"/>
        <v>0</v>
      </c>
      <c r="AI625" s="5">
        <f t="shared" si="197"/>
        <v>0.92054794520547945</v>
      </c>
      <c r="AJ625" s="5">
        <f t="shared" si="198"/>
        <v>1.1898016997167136</v>
      </c>
      <c r="AK625" s="5">
        <f t="shared" si="199"/>
        <v>82.096317280453235</v>
      </c>
      <c r="AL625" s="5">
        <f t="shared" si="200"/>
        <v>123.14447592067985</v>
      </c>
      <c r="AM625" s="5">
        <f t="shared" si="201"/>
        <v>0</v>
      </c>
      <c r="AN625" s="5">
        <f t="shared" si="202"/>
        <v>123.14447592067985</v>
      </c>
      <c r="AO625" s="1" t="s">
        <v>102</v>
      </c>
    </row>
    <row r="626" spans="1:41" x14ac:dyDescent="0.25">
      <c r="A626" s="1" t="s">
        <v>19</v>
      </c>
      <c r="B626" s="1" t="s">
        <v>37</v>
      </c>
      <c r="C626" s="1" t="s">
        <v>21</v>
      </c>
      <c r="D626" s="1" t="s">
        <v>38</v>
      </c>
      <c r="E626" s="1" t="s">
        <v>96</v>
      </c>
      <c r="F626" s="1" t="s">
        <v>103</v>
      </c>
      <c r="G626" s="1" t="s">
        <v>114</v>
      </c>
      <c r="H626" s="1" t="s">
        <v>574</v>
      </c>
      <c r="I626" s="1" t="s">
        <v>331</v>
      </c>
      <c r="J626" s="1" t="s">
        <v>101</v>
      </c>
      <c r="K626" s="1" t="s">
        <v>175</v>
      </c>
      <c r="L626" s="1">
        <v>2944976</v>
      </c>
      <c r="M626" s="1" t="s">
        <v>829</v>
      </c>
      <c r="N626" s="8">
        <f t="shared" si="206"/>
        <v>44956</v>
      </c>
      <c r="O626" s="8">
        <f>DATE(2024,12,23)</f>
        <v>45649</v>
      </c>
      <c r="P626" s="1">
        <v>1258</v>
      </c>
      <c r="Q626" s="1">
        <v>1200</v>
      </c>
      <c r="R626" s="1">
        <f t="shared" si="185"/>
        <v>1200</v>
      </c>
      <c r="S626" s="1">
        <v>2.5</v>
      </c>
      <c r="U626" s="1">
        <f t="shared" si="186"/>
        <v>694</v>
      </c>
      <c r="V626" s="7">
        <f t="shared" si="187"/>
        <v>1.7291066282420748</v>
      </c>
      <c r="W626" s="7">
        <f t="shared" si="188"/>
        <v>631.12391930835736</v>
      </c>
      <c r="X626" s="7">
        <f t="shared" si="189"/>
        <v>0.7889048991354467</v>
      </c>
      <c r="AA626" s="8">
        <f t="shared" si="190"/>
        <v>44927</v>
      </c>
      <c r="AB626" s="8">
        <f t="shared" si="191"/>
        <v>45291</v>
      </c>
      <c r="AC626" s="1">
        <v>11</v>
      </c>
      <c r="AD626" s="1">
        <f t="shared" si="192"/>
        <v>0</v>
      </c>
      <c r="AE626" s="1">
        <f t="shared" si="193"/>
        <v>336</v>
      </c>
      <c r="AF626" s="1">
        <f t="shared" si="194"/>
        <v>0</v>
      </c>
      <c r="AG626" s="1">
        <f t="shared" si="195"/>
        <v>0</v>
      </c>
      <c r="AH626" s="1">
        <f t="shared" si="196"/>
        <v>0</v>
      </c>
      <c r="AI626" s="5">
        <f t="shared" si="197"/>
        <v>0.92054794520547945</v>
      </c>
      <c r="AJ626" s="5">
        <f t="shared" si="198"/>
        <v>0.72622478386167144</v>
      </c>
      <c r="AK626" s="5">
        <f t="shared" si="199"/>
        <v>7.988472622478386</v>
      </c>
      <c r="AL626" s="5">
        <f t="shared" si="200"/>
        <v>19.971181556195965</v>
      </c>
      <c r="AM626" s="5">
        <f t="shared" si="201"/>
        <v>0</v>
      </c>
      <c r="AN626" s="5">
        <f t="shared" si="202"/>
        <v>19.971181556195965</v>
      </c>
      <c r="AO626" s="1" t="s">
        <v>102</v>
      </c>
    </row>
    <row r="627" spans="1:41" x14ac:dyDescent="0.25">
      <c r="A627" s="1" t="s">
        <v>19</v>
      </c>
      <c r="B627" s="1" t="s">
        <v>37</v>
      </c>
      <c r="C627" s="1" t="s">
        <v>21</v>
      </c>
      <c r="D627" s="1" t="s">
        <v>38</v>
      </c>
      <c r="E627" s="1" t="s">
        <v>96</v>
      </c>
      <c r="F627" s="1" t="s">
        <v>103</v>
      </c>
      <c r="G627" s="1" t="s">
        <v>114</v>
      </c>
      <c r="H627" s="1" t="s">
        <v>569</v>
      </c>
      <c r="I627" s="1" t="s">
        <v>331</v>
      </c>
      <c r="J627" s="1" t="s">
        <v>101</v>
      </c>
      <c r="K627" s="1" t="s">
        <v>175</v>
      </c>
      <c r="L627" s="1">
        <v>2944977</v>
      </c>
      <c r="M627" s="1" t="s">
        <v>830</v>
      </c>
      <c r="N627" s="8">
        <f t="shared" si="206"/>
        <v>44956</v>
      </c>
      <c r="O627" s="8">
        <f>DATE(2024,12,23)</f>
        <v>45649</v>
      </c>
      <c r="P627" s="1">
        <v>1694</v>
      </c>
      <c r="Q627" s="1">
        <v>1200</v>
      </c>
      <c r="R627" s="1">
        <f t="shared" si="185"/>
        <v>1200</v>
      </c>
      <c r="S627" s="1">
        <v>2.5</v>
      </c>
      <c r="U627" s="1">
        <f t="shared" si="186"/>
        <v>694</v>
      </c>
      <c r="V627" s="7">
        <f t="shared" si="187"/>
        <v>1.7291066282420748</v>
      </c>
      <c r="W627" s="7">
        <f t="shared" si="188"/>
        <v>631.12391930835736</v>
      </c>
      <c r="X627" s="7">
        <f t="shared" si="189"/>
        <v>0.7889048991354467</v>
      </c>
      <c r="AA627" s="8">
        <f t="shared" si="190"/>
        <v>44927</v>
      </c>
      <c r="AB627" s="8">
        <f t="shared" si="191"/>
        <v>45291</v>
      </c>
      <c r="AC627" s="1">
        <v>10</v>
      </c>
      <c r="AD627" s="1">
        <f t="shared" si="192"/>
        <v>0</v>
      </c>
      <c r="AE627" s="1">
        <f t="shared" si="193"/>
        <v>336</v>
      </c>
      <c r="AF627" s="1">
        <f t="shared" si="194"/>
        <v>0</v>
      </c>
      <c r="AG627" s="1">
        <f t="shared" si="195"/>
        <v>0</v>
      </c>
      <c r="AH627" s="1">
        <f t="shared" si="196"/>
        <v>0</v>
      </c>
      <c r="AI627" s="5">
        <f t="shared" si="197"/>
        <v>0.92054794520547945</v>
      </c>
      <c r="AJ627" s="5">
        <f t="shared" si="198"/>
        <v>0.72622478386167144</v>
      </c>
      <c r="AK627" s="5">
        <f t="shared" si="199"/>
        <v>7.2622478386167142</v>
      </c>
      <c r="AL627" s="5">
        <f t="shared" si="200"/>
        <v>18.155619596541786</v>
      </c>
      <c r="AM627" s="5">
        <f t="shared" si="201"/>
        <v>0</v>
      </c>
      <c r="AN627" s="5">
        <f t="shared" si="202"/>
        <v>18.155619596541786</v>
      </c>
      <c r="AO627" s="1" t="s">
        <v>102</v>
      </c>
    </row>
    <row r="628" spans="1:41" x14ac:dyDescent="0.25">
      <c r="A628" s="1" t="s">
        <v>19</v>
      </c>
      <c r="B628" s="1" t="s">
        <v>37</v>
      </c>
      <c r="C628" s="1" t="s">
        <v>21</v>
      </c>
      <c r="D628" s="1" t="s">
        <v>38</v>
      </c>
      <c r="E628" s="1" t="s">
        <v>96</v>
      </c>
      <c r="F628" s="1" t="s">
        <v>103</v>
      </c>
      <c r="G628" s="1" t="s">
        <v>114</v>
      </c>
      <c r="H628" s="1" t="s">
        <v>592</v>
      </c>
      <c r="I628" s="1" t="s">
        <v>210</v>
      </c>
      <c r="J628" s="1" t="s">
        <v>101</v>
      </c>
      <c r="K628" s="1" t="s">
        <v>175</v>
      </c>
      <c r="L628" s="1">
        <v>2944978</v>
      </c>
      <c r="M628" s="1" t="s">
        <v>831</v>
      </c>
      <c r="N628" s="8">
        <f t="shared" si="206"/>
        <v>44956</v>
      </c>
      <c r="O628" s="8">
        <f>DATE(2024,12,23)</f>
        <v>45649</v>
      </c>
      <c r="P628" s="1">
        <v>1707</v>
      </c>
      <c r="Q628" s="1">
        <v>1200</v>
      </c>
      <c r="R628" s="1">
        <f t="shared" si="185"/>
        <v>1200</v>
      </c>
      <c r="S628" s="1">
        <v>2.5</v>
      </c>
      <c r="U628" s="1">
        <f t="shared" si="186"/>
        <v>694</v>
      </c>
      <c r="V628" s="7">
        <f t="shared" si="187"/>
        <v>1.7291066282420748</v>
      </c>
      <c r="W628" s="7">
        <f t="shared" si="188"/>
        <v>631.12391930835736</v>
      </c>
      <c r="X628" s="7">
        <f t="shared" si="189"/>
        <v>0.7889048991354467</v>
      </c>
      <c r="AA628" s="8">
        <f t="shared" si="190"/>
        <v>44927</v>
      </c>
      <c r="AB628" s="8">
        <f t="shared" si="191"/>
        <v>45291</v>
      </c>
      <c r="AC628" s="1">
        <v>17</v>
      </c>
      <c r="AD628" s="1">
        <f t="shared" si="192"/>
        <v>0</v>
      </c>
      <c r="AE628" s="1">
        <f t="shared" si="193"/>
        <v>336</v>
      </c>
      <c r="AF628" s="1">
        <f t="shared" si="194"/>
        <v>0</v>
      </c>
      <c r="AG628" s="1">
        <f t="shared" si="195"/>
        <v>0</v>
      </c>
      <c r="AH628" s="1">
        <f t="shared" si="196"/>
        <v>0</v>
      </c>
      <c r="AI628" s="5">
        <f t="shared" si="197"/>
        <v>0.92054794520547945</v>
      </c>
      <c r="AJ628" s="5">
        <f t="shared" si="198"/>
        <v>0.72622478386167144</v>
      </c>
      <c r="AK628" s="5">
        <f t="shared" si="199"/>
        <v>12.345821325648414</v>
      </c>
      <c r="AL628" s="5">
        <f t="shared" si="200"/>
        <v>30.864553314121036</v>
      </c>
      <c r="AM628" s="5">
        <f t="shared" si="201"/>
        <v>0</v>
      </c>
      <c r="AN628" s="5">
        <f t="shared" si="202"/>
        <v>30.864553314121036</v>
      </c>
      <c r="AO628" s="1" t="s">
        <v>102</v>
      </c>
    </row>
    <row r="629" spans="1:41" x14ac:dyDescent="0.25">
      <c r="A629" s="1" t="s">
        <v>19</v>
      </c>
      <c r="B629" s="1" t="s">
        <v>37</v>
      </c>
      <c r="C629" s="1" t="s">
        <v>21</v>
      </c>
      <c r="D629" s="1" t="s">
        <v>38</v>
      </c>
      <c r="E629" s="1" t="s">
        <v>96</v>
      </c>
      <c r="F629" s="1" t="s">
        <v>103</v>
      </c>
      <c r="G629" s="1" t="s">
        <v>114</v>
      </c>
      <c r="H629" s="1" t="s">
        <v>590</v>
      </c>
      <c r="I629" s="1" t="s">
        <v>210</v>
      </c>
      <c r="J629" s="1" t="s">
        <v>101</v>
      </c>
      <c r="K629" s="1" t="s">
        <v>175</v>
      </c>
      <c r="L629" s="1">
        <v>2944980</v>
      </c>
      <c r="M629" s="1" t="s">
        <v>832</v>
      </c>
      <c r="N629" s="8">
        <f t="shared" si="206"/>
        <v>44956</v>
      </c>
      <c r="O629" s="8">
        <f>DATE(2024,12,23)</f>
        <v>45649</v>
      </c>
      <c r="P629" s="1">
        <v>1703</v>
      </c>
      <c r="Q629" s="1">
        <v>1200</v>
      </c>
      <c r="R629" s="1">
        <f t="shared" si="185"/>
        <v>1200</v>
      </c>
      <c r="S629" s="1">
        <v>2.5</v>
      </c>
      <c r="U629" s="1">
        <f t="shared" si="186"/>
        <v>694</v>
      </c>
      <c r="V629" s="7">
        <f t="shared" si="187"/>
        <v>1.7291066282420748</v>
      </c>
      <c r="W629" s="7">
        <f t="shared" si="188"/>
        <v>631.12391930835736</v>
      </c>
      <c r="X629" s="7">
        <f t="shared" si="189"/>
        <v>0.7889048991354467</v>
      </c>
      <c r="AA629" s="8">
        <f t="shared" si="190"/>
        <v>44927</v>
      </c>
      <c r="AB629" s="8">
        <f t="shared" si="191"/>
        <v>45291</v>
      </c>
      <c r="AC629" s="1">
        <v>12</v>
      </c>
      <c r="AD629" s="1">
        <f t="shared" si="192"/>
        <v>0</v>
      </c>
      <c r="AE629" s="1">
        <f t="shared" si="193"/>
        <v>336</v>
      </c>
      <c r="AF629" s="1">
        <f t="shared" si="194"/>
        <v>0</v>
      </c>
      <c r="AG629" s="1">
        <f t="shared" si="195"/>
        <v>0</v>
      </c>
      <c r="AH629" s="1">
        <f t="shared" si="196"/>
        <v>0</v>
      </c>
      <c r="AI629" s="5">
        <f t="shared" si="197"/>
        <v>0.92054794520547945</v>
      </c>
      <c r="AJ629" s="5">
        <f t="shared" si="198"/>
        <v>0.72622478386167144</v>
      </c>
      <c r="AK629" s="5">
        <f t="shared" si="199"/>
        <v>8.7146974063400577</v>
      </c>
      <c r="AL629" s="5">
        <f t="shared" si="200"/>
        <v>21.786743515850144</v>
      </c>
      <c r="AM629" s="5">
        <f t="shared" si="201"/>
        <v>0</v>
      </c>
      <c r="AN629" s="5">
        <f t="shared" si="202"/>
        <v>21.786743515850144</v>
      </c>
      <c r="AO629" s="1" t="s">
        <v>102</v>
      </c>
    </row>
    <row r="630" spans="1:41" x14ac:dyDescent="0.25">
      <c r="A630" s="1" t="s">
        <v>19</v>
      </c>
      <c r="B630" s="1" t="s">
        <v>37</v>
      </c>
      <c r="C630" s="1" t="s">
        <v>21</v>
      </c>
      <c r="D630" s="1" t="s">
        <v>38</v>
      </c>
      <c r="E630" s="1" t="s">
        <v>96</v>
      </c>
      <c r="F630" s="1" t="s">
        <v>103</v>
      </c>
      <c r="G630" s="1" t="s">
        <v>98</v>
      </c>
      <c r="H630" s="1" t="s">
        <v>537</v>
      </c>
      <c r="I630" s="1" t="s">
        <v>162</v>
      </c>
      <c r="J630" s="1" t="s">
        <v>101</v>
      </c>
      <c r="L630" s="1">
        <v>2945223</v>
      </c>
      <c r="M630" s="1" t="s">
        <v>833</v>
      </c>
      <c r="N630" s="8">
        <f t="shared" si="206"/>
        <v>44956</v>
      </c>
      <c r="O630" s="8">
        <f>DATE(2027,12,23)</f>
        <v>46744</v>
      </c>
      <c r="P630" s="1">
        <v>4460</v>
      </c>
      <c r="Q630" s="1">
        <v>3200</v>
      </c>
      <c r="R630" s="1">
        <f t="shared" si="185"/>
        <v>3200</v>
      </c>
      <c r="S630" s="1">
        <v>2.5</v>
      </c>
      <c r="U630" s="1">
        <f t="shared" si="186"/>
        <v>1789</v>
      </c>
      <c r="V630" s="7">
        <f t="shared" si="187"/>
        <v>1.7887087758524316</v>
      </c>
      <c r="W630" s="7">
        <f t="shared" si="188"/>
        <v>652.8787031861375</v>
      </c>
      <c r="X630" s="7">
        <f t="shared" si="189"/>
        <v>0.8160983789826719</v>
      </c>
      <c r="AA630" s="8">
        <f t="shared" si="190"/>
        <v>44927</v>
      </c>
      <c r="AB630" s="8">
        <f t="shared" si="191"/>
        <v>45291</v>
      </c>
      <c r="AC630" s="1">
        <v>34</v>
      </c>
      <c r="AD630" s="1">
        <f t="shared" si="192"/>
        <v>0</v>
      </c>
      <c r="AE630" s="1">
        <f t="shared" si="193"/>
        <v>336</v>
      </c>
      <c r="AF630" s="1">
        <f t="shared" si="194"/>
        <v>0</v>
      </c>
      <c r="AG630" s="1">
        <f t="shared" si="195"/>
        <v>0</v>
      </c>
      <c r="AH630" s="1">
        <f t="shared" si="196"/>
        <v>0</v>
      </c>
      <c r="AI630" s="5">
        <f t="shared" si="197"/>
        <v>0.92054794520547945</v>
      </c>
      <c r="AJ630" s="5">
        <f t="shared" si="198"/>
        <v>0.75125768585802122</v>
      </c>
      <c r="AK630" s="5">
        <f t="shared" si="199"/>
        <v>25.542761319172723</v>
      </c>
      <c r="AL630" s="5">
        <f t="shared" si="200"/>
        <v>63.856903297931808</v>
      </c>
      <c r="AM630" s="5">
        <f t="shared" si="201"/>
        <v>0</v>
      </c>
      <c r="AN630" s="5">
        <f t="shared" si="202"/>
        <v>63.856903297931808</v>
      </c>
      <c r="AO630" s="1" t="s">
        <v>102</v>
      </c>
    </row>
    <row r="631" spans="1:41" x14ac:dyDescent="0.25">
      <c r="A631" s="1" t="s">
        <v>19</v>
      </c>
      <c r="B631" s="1" t="s">
        <v>37</v>
      </c>
      <c r="C631" s="1" t="s">
        <v>21</v>
      </c>
      <c r="D631" s="1" t="s">
        <v>38</v>
      </c>
      <c r="E631" s="1" t="s">
        <v>96</v>
      </c>
      <c r="F631" s="1" t="s">
        <v>103</v>
      </c>
      <c r="G631" s="1" t="s">
        <v>98</v>
      </c>
      <c r="H631" s="1" t="s">
        <v>542</v>
      </c>
      <c r="I631" s="1" t="s">
        <v>210</v>
      </c>
      <c r="J631" s="1" t="s">
        <v>101</v>
      </c>
      <c r="L631" s="1">
        <v>2945368</v>
      </c>
      <c r="M631" s="1" t="s">
        <v>834</v>
      </c>
      <c r="N631" s="8">
        <f t="shared" si="206"/>
        <v>44956</v>
      </c>
      <c r="O631" s="8">
        <f>DATE(2027,12,23)</f>
        <v>46744</v>
      </c>
      <c r="P631" s="1">
        <v>4610</v>
      </c>
      <c r="Q631" s="1">
        <v>3600</v>
      </c>
      <c r="R631" s="1">
        <f t="shared" si="185"/>
        <v>3600</v>
      </c>
      <c r="S631" s="1">
        <v>2.5</v>
      </c>
      <c r="U631" s="1">
        <f t="shared" si="186"/>
        <v>1789</v>
      </c>
      <c r="V631" s="7">
        <f t="shared" si="187"/>
        <v>2.0122973728339857</v>
      </c>
      <c r="W631" s="7">
        <f t="shared" si="188"/>
        <v>734.4885410844048</v>
      </c>
      <c r="X631" s="7">
        <f t="shared" si="189"/>
        <v>0.91811067635550603</v>
      </c>
      <c r="AA631" s="8">
        <f t="shared" si="190"/>
        <v>44927</v>
      </c>
      <c r="AB631" s="8">
        <f t="shared" si="191"/>
        <v>45291</v>
      </c>
      <c r="AC631" s="1">
        <v>24</v>
      </c>
      <c r="AD631" s="1">
        <f t="shared" si="192"/>
        <v>0</v>
      </c>
      <c r="AE631" s="1">
        <f t="shared" si="193"/>
        <v>336</v>
      </c>
      <c r="AF631" s="1">
        <f t="shared" si="194"/>
        <v>0</v>
      </c>
      <c r="AG631" s="1">
        <f t="shared" si="195"/>
        <v>0</v>
      </c>
      <c r="AH631" s="1">
        <f t="shared" si="196"/>
        <v>0</v>
      </c>
      <c r="AI631" s="5">
        <f t="shared" si="197"/>
        <v>0.92054794520547945</v>
      </c>
      <c r="AJ631" s="5">
        <f t="shared" si="198"/>
        <v>0.84516489659027405</v>
      </c>
      <c r="AK631" s="5">
        <f t="shared" si="199"/>
        <v>20.283957518166577</v>
      </c>
      <c r="AL631" s="5">
        <f t="shared" si="200"/>
        <v>50.709893795416441</v>
      </c>
      <c r="AM631" s="5">
        <f t="shared" si="201"/>
        <v>0</v>
      </c>
      <c r="AN631" s="5">
        <f t="shared" si="202"/>
        <v>50.709893795416441</v>
      </c>
      <c r="AO631" s="1" t="s">
        <v>102</v>
      </c>
    </row>
    <row r="632" spans="1:41" x14ac:dyDescent="0.25">
      <c r="A632" s="1" t="s">
        <v>19</v>
      </c>
      <c r="B632" s="1" t="s">
        <v>37</v>
      </c>
      <c r="C632" s="1" t="s">
        <v>21</v>
      </c>
      <c r="D632" s="1" t="s">
        <v>38</v>
      </c>
      <c r="E632" s="1" t="s">
        <v>96</v>
      </c>
      <c r="F632" s="1" t="s">
        <v>103</v>
      </c>
      <c r="G632" s="1" t="s">
        <v>98</v>
      </c>
      <c r="H632" s="1" t="s">
        <v>725</v>
      </c>
      <c r="I632" s="1" t="s">
        <v>210</v>
      </c>
      <c r="J632" s="1" t="s">
        <v>101</v>
      </c>
      <c r="L632" s="1">
        <v>2945369</v>
      </c>
      <c r="M632" s="1" t="s">
        <v>835</v>
      </c>
      <c r="N632" s="8">
        <f t="shared" si="206"/>
        <v>44956</v>
      </c>
      <c r="O632" s="8">
        <f>DATE(2027,12,23)</f>
        <v>46744</v>
      </c>
      <c r="P632" s="1">
        <v>3662</v>
      </c>
      <c r="Q632" s="1">
        <v>3600</v>
      </c>
      <c r="R632" s="1">
        <f t="shared" si="185"/>
        <v>3600</v>
      </c>
      <c r="S632" s="1">
        <v>2.5</v>
      </c>
      <c r="U632" s="1">
        <f t="shared" si="186"/>
        <v>1789</v>
      </c>
      <c r="V632" s="7">
        <f t="shared" si="187"/>
        <v>2.0122973728339857</v>
      </c>
      <c r="W632" s="7">
        <f t="shared" si="188"/>
        <v>734.4885410844048</v>
      </c>
      <c r="X632" s="7">
        <f t="shared" si="189"/>
        <v>0.91811067635550603</v>
      </c>
      <c r="AA632" s="8">
        <f t="shared" si="190"/>
        <v>44927</v>
      </c>
      <c r="AB632" s="8">
        <f t="shared" si="191"/>
        <v>45291</v>
      </c>
      <c r="AC632" s="1">
        <v>41</v>
      </c>
      <c r="AD632" s="1">
        <f t="shared" si="192"/>
        <v>0</v>
      </c>
      <c r="AE632" s="1">
        <f t="shared" si="193"/>
        <v>336</v>
      </c>
      <c r="AF632" s="1">
        <f t="shared" si="194"/>
        <v>0</v>
      </c>
      <c r="AG632" s="1">
        <f t="shared" si="195"/>
        <v>0</v>
      </c>
      <c r="AH632" s="1">
        <f t="shared" si="196"/>
        <v>0</v>
      </c>
      <c r="AI632" s="5">
        <f t="shared" si="197"/>
        <v>0.92054794520547945</v>
      </c>
      <c r="AJ632" s="5">
        <f t="shared" si="198"/>
        <v>0.84516489659027405</v>
      </c>
      <c r="AK632" s="5">
        <f t="shared" si="199"/>
        <v>34.651760760201235</v>
      </c>
      <c r="AL632" s="5">
        <f t="shared" si="200"/>
        <v>86.629401900503083</v>
      </c>
      <c r="AM632" s="5">
        <f t="shared" si="201"/>
        <v>0</v>
      </c>
      <c r="AN632" s="5">
        <f t="shared" si="202"/>
        <v>86.629401900503083</v>
      </c>
      <c r="AO632" s="1" t="s">
        <v>102</v>
      </c>
    </row>
    <row r="633" spans="1:41" x14ac:dyDescent="0.25">
      <c r="A633" s="1" t="s">
        <v>19</v>
      </c>
      <c r="B633" s="1" t="s">
        <v>37</v>
      </c>
      <c r="C633" s="1" t="s">
        <v>21</v>
      </c>
      <c r="D633" s="1" t="s">
        <v>38</v>
      </c>
      <c r="E633" s="1" t="s">
        <v>96</v>
      </c>
      <c r="F633" s="1" t="s">
        <v>103</v>
      </c>
      <c r="G633" s="1" t="s">
        <v>98</v>
      </c>
      <c r="H633" s="1" t="s">
        <v>523</v>
      </c>
      <c r="I633" s="1" t="s">
        <v>100</v>
      </c>
      <c r="J633" s="1" t="s">
        <v>101</v>
      </c>
      <c r="L633" s="1">
        <v>2945370</v>
      </c>
      <c r="M633" s="1" t="s">
        <v>836</v>
      </c>
      <c r="N633" s="8">
        <f t="shared" si="206"/>
        <v>44956</v>
      </c>
      <c r="O633" s="8">
        <f>DATE(2025,12,23)</f>
        <v>46014</v>
      </c>
      <c r="P633" s="1">
        <v>2587</v>
      </c>
      <c r="Q633" s="1">
        <v>2400</v>
      </c>
      <c r="R633" s="1">
        <f t="shared" si="185"/>
        <v>2400</v>
      </c>
      <c r="S633" s="1">
        <v>1</v>
      </c>
      <c r="U633" s="1">
        <f t="shared" si="186"/>
        <v>1059</v>
      </c>
      <c r="V633" s="7">
        <f t="shared" si="187"/>
        <v>2.2662889518413598</v>
      </c>
      <c r="W633" s="7">
        <f t="shared" si="188"/>
        <v>827.19546742209639</v>
      </c>
      <c r="X633" s="7">
        <f t="shared" si="189"/>
        <v>1.0339943342776206</v>
      </c>
      <c r="AA633" s="8">
        <f t="shared" si="190"/>
        <v>44927</v>
      </c>
      <c r="AB633" s="8">
        <f t="shared" si="191"/>
        <v>45291</v>
      </c>
      <c r="AC633" s="1">
        <v>25</v>
      </c>
      <c r="AD633" s="1">
        <f t="shared" si="192"/>
        <v>0</v>
      </c>
      <c r="AE633" s="1">
        <f t="shared" si="193"/>
        <v>336</v>
      </c>
      <c r="AF633" s="1">
        <f t="shared" si="194"/>
        <v>0</v>
      </c>
      <c r="AG633" s="1">
        <f t="shared" si="195"/>
        <v>0</v>
      </c>
      <c r="AH633" s="1">
        <f t="shared" si="196"/>
        <v>0</v>
      </c>
      <c r="AI633" s="5">
        <f t="shared" si="197"/>
        <v>0.92054794520547945</v>
      </c>
      <c r="AJ633" s="5">
        <f t="shared" si="198"/>
        <v>0.95184135977337125</v>
      </c>
      <c r="AK633" s="5">
        <f t="shared" si="199"/>
        <v>23.79603399433428</v>
      </c>
      <c r="AL633" s="5">
        <f t="shared" si="200"/>
        <v>23.79603399433428</v>
      </c>
      <c r="AM633" s="5">
        <f t="shared" si="201"/>
        <v>0</v>
      </c>
      <c r="AN633" s="5">
        <f t="shared" si="202"/>
        <v>23.79603399433428</v>
      </c>
      <c r="AO633" s="1" t="s">
        <v>102</v>
      </c>
    </row>
    <row r="634" spans="1:41" x14ac:dyDescent="0.25">
      <c r="A634" s="1" t="s">
        <v>19</v>
      </c>
      <c r="B634" s="1" t="s">
        <v>37</v>
      </c>
      <c r="C634" s="1" t="s">
        <v>21</v>
      </c>
      <c r="D634" s="1" t="s">
        <v>38</v>
      </c>
      <c r="E634" s="1" t="s">
        <v>96</v>
      </c>
      <c r="F634" s="1" t="s">
        <v>103</v>
      </c>
      <c r="G634" s="1" t="s">
        <v>98</v>
      </c>
      <c r="H634" s="1" t="s">
        <v>566</v>
      </c>
      <c r="I634" s="1" t="s">
        <v>336</v>
      </c>
      <c r="J634" s="1" t="s">
        <v>101</v>
      </c>
      <c r="L634" s="1">
        <v>2945372</v>
      </c>
      <c r="M634" s="1" t="s">
        <v>837</v>
      </c>
      <c r="N634" s="8">
        <f t="shared" si="206"/>
        <v>44956</v>
      </c>
      <c r="O634" s="8">
        <f>DATE(2025,12,23)</f>
        <v>46014</v>
      </c>
      <c r="P634" s="1">
        <v>2600</v>
      </c>
      <c r="Q634" s="1">
        <v>2400</v>
      </c>
      <c r="R634" s="1">
        <f t="shared" si="185"/>
        <v>2400</v>
      </c>
      <c r="S634" s="1">
        <v>1</v>
      </c>
      <c r="U634" s="1">
        <f t="shared" si="186"/>
        <v>1059</v>
      </c>
      <c r="V634" s="7">
        <f t="shared" si="187"/>
        <v>2.2662889518413598</v>
      </c>
      <c r="W634" s="7">
        <f t="shared" si="188"/>
        <v>827.19546742209639</v>
      </c>
      <c r="X634" s="7">
        <f t="shared" si="189"/>
        <v>1.0339943342776206</v>
      </c>
      <c r="AA634" s="8">
        <f t="shared" si="190"/>
        <v>44927</v>
      </c>
      <c r="AB634" s="8">
        <f t="shared" si="191"/>
        <v>45291</v>
      </c>
      <c r="AC634" s="1">
        <v>30</v>
      </c>
      <c r="AD634" s="1">
        <f t="shared" si="192"/>
        <v>0</v>
      </c>
      <c r="AE634" s="1">
        <f t="shared" si="193"/>
        <v>336</v>
      </c>
      <c r="AF634" s="1">
        <f t="shared" si="194"/>
        <v>0</v>
      </c>
      <c r="AG634" s="1">
        <f t="shared" si="195"/>
        <v>0</v>
      </c>
      <c r="AH634" s="1">
        <f t="shared" si="196"/>
        <v>0</v>
      </c>
      <c r="AI634" s="5">
        <f t="shared" si="197"/>
        <v>0.92054794520547945</v>
      </c>
      <c r="AJ634" s="5">
        <f t="shared" si="198"/>
        <v>0.95184135977337125</v>
      </c>
      <c r="AK634" s="5">
        <f t="shared" si="199"/>
        <v>28.555240793201136</v>
      </c>
      <c r="AL634" s="5">
        <f t="shared" si="200"/>
        <v>28.555240793201136</v>
      </c>
      <c r="AM634" s="5">
        <f t="shared" si="201"/>
        <v>0</v>
      </c>
      <c r="AN634" s="5">
        <f t="shared" si="202"/>
        <v>28.555240793201136</v>
      </c>
      <c r="AO634" s="1" t="s">
        <v>102</v>
      </c>
    </row>
    <row r="635" spans="1:41" x14ac:dyDescent="0.25">
      <c r="A635" s="1" t="s">
        <v>19</v>
      </c>
      <c r="B635" s="1" t="s">
        <v>37</v>
      </c>
      <c r="C635" s="1" t="s">
        <v>21</v>
      </c>
      <c r="D635" s="1" t="s">
        <v>38</v>
      </c>
      <c r="E635" s="1" t="s">
        <v>96</v>
      </c>
      <c r="F635" s="1" t="s">
        <v>103</v>
      </c>
      <c r="G635" s="1" t="s">
        <v>320</v>
      </c>
      <c r="H635" s="1" t="s">
        <v>685</v>
      </c>
      <c r="I635" s="1" t="s">
        <v>174</v>
      </c>
      <c r="J635" s="1" t="s">
        <v>101</v>
      </c>
      <c r="L635" s="1">
        <v>2945374</v>
      </c>
      <c r="M635" s="1" t="s">
        <v>838</v>
      </c>
      <c r="N635" s="8">
        <f t="shared" si="206"/>
        <v>44956</v>
      </c>
      <c r="O635" s="8">
        <f>DATE(2026,12,23)</f>
        <v>46379</v>
      </c>
      <c r="P635" s="1">
        <v>3231</v>
      </c>
      <c r="Q635" s="1">
        <v>3200</v>
      </c>
      <c r="R635" s="1">
        <f t="shared" si="185"/>
        <v>3200</v>
      </c>
      <c r="S635" s="1">
        <v>2.5</v>
      </c>
      <c r="U635" s="1">
        <f t="shared" si="186"/>
        <v>1424</v>
      </c>
      <c r="V635" s="7">
        <f t="shared" si="187"/>
        <v>2.2471910112359552</v>
      </c>
      <c r="W635" s="7">
        <f t="shared" si="188"/>
        <v>820.2247191011237</v>
      </c>
      <c r="X635" s="7">
        <f t="shared" si="189"/>
        <v>1.0252808988764046</v>
      </c>
      <c r="AA635" s="8">
        <f t="shared" si="190"/>
        <v>44927</v>
      </c>
      <c r="AB635" s="8">
        <f t="shared" si="191"/>
        <v>45291</v>
      </c>
      <c r="AC635" s="1">
        <v>35</v>
      </c>
      <c r="AD635" s="1">
        <f t="shared" si="192"/>
        <v>0</v>
      </c>
      <c r="AE635" s="1">
        <f t="shared" si="193"/>
        <v>336</v>
      </c>
      <c r="AF635" s="1">
        <f t="shared" si="194"/>
        <v>0</v>
      </c>
      <c r="AG635" s="1">
        <f t="shared" si="195"/>
        <v>0</v>
      </c>
      <c r="AH635" s="1">
        <f t="shared" si="196"/>
        <v>0</v>
      </c>
      <c r="AI635" s="5">
        <f t="shared" si="197"/>
        <v>0.92054794520547945</v>
      </c>
      <c r="AJ635" s="5">
        <f t="shared" si="198"/>
        <v>0.94382022471910121</v>
      </c>
      <c r="AK635" s="5">
        <f t="shared" si="199"/>
        <v>33.033707865168545</v>
      </c>
      <c r="AL635" s="5">
        <f t="shared" si="200"/>
        <v>82.584269662921358</v>
      </c>
      <c r="AM635" s="5">
        <f t="shared" si="201"/>
        <v>0</v>
      </c>
      <c r="AN635" s="5">
        <f t="shared" si="202"/>
        <v>82.584269662921358</v>
      </c>
      <c r="AO635" s="1" t="s">
        <v>102</v>
      </c>
    </row>
    <row r="636" spans="1:41" x14ac:dyDescent="0.25">
      <c r="A636" s="1" t="s">
        <v>19</v>
      </c>
      <c r="B636" s="1" t="s">
        <v>37</v>
      </c>
      <c r="C636" s="1" t="s">
        <v>21</v>
      </c>
      <c r="D636" s="1" t="s">
        <v>38</v>
      </c>
      <c r="E636" s="1" t="s">
        <v>96</v>
      </c>
      <c r="F636" s="1" t="s">
        <v>103</v>
      </c>
      <c r="G636" s="1" t="s">
        <v>127</v>
      </c>
      <c r="H636" s="1" t="s">
        <v>555</v>
      </c>
      <c r="I636" s="1" t="s">
        <v>331</v>
      </c>
      <c r="J636" s="1" t="s">
        <v>101</v>
      </c>
      <c r="L636" s="1">
        <v>2945377</v>
      </c>
      <c r="M636" s="1" t="s">
        <v>839</v>
      </c>
      <c r="N636" s="8">
        <f t="shared" si="206"/>
        <v>44956</v>
      </c>
      <c r="O636" s="8">
        <f>DATE(2026,6,26)</f>
        <v>46199</v>
      </c>
      <c r="P636" s="1">
        <v>2562</v>
      </c>
      <c r="Q636" s="1">
        <v>2400</v>
      </c>
      <c r="R636" s="1">
        <f t="shared" ref="R636:R698" si="207">IF(OR(G636="QUALIFICACAO PROFISSIONAL (FIC)",G636="DOUTORADO"),P636,
    IF(ISNUMBER(FIND("PROEJA",K636)),2400,
        IF(K636="INTEGRADO",
            IF(Q636=800,3000,
                IF(Q636=1000,3100,
                    IF(Q636=1200,3200,Q636)
                )
            ),
            Q636
        )
    )
)</f>
        <v>2400</v>
      </c>
      <c r="S636" s="1">
        <v>2.5</v>
      </c>
      <c r="U636" s="1">
        <f t="shared" ref="U636:U698" si="208">O636-N636+1</f>
        <v>1244</v>
      </c>
      <c r="V636" s="7">
        <f t="shared" ref="V636:V698" si="209">IF(R636&gt;P636,P636,R636)/U636</f>
        <v>1.9292604501607717</v>
      </c>
      <c r="W636" s="7">
        <f t="shared" ref="W636:W698" si="210">IF(U636&gt;365,V636*365,R636)</f>
        <v>704.18006430868172</v>
      </c>
      <c r="X636" s="7">
        <f t="shared" ref="X636:X698" si="211">IF(U636&gt;365,W636/800,R636/800)</f>
        <v>0.88022508038585212</v>
      </c>
      <c r="AA636" s="8">
        <f t="shared" ref="AA636:AA698" si="212">DATE(2023,1,1)</f>
        <v>44927</v>
      </c>
      <c r="AB636" s="8">
        <f t="shared" ref="AB636:AB698" si="213">DATE(2023,12,31)</f>
        <v>45291</v>
      </c>
      <c r="AC636" s="1">
        <v>20</v>
      </c>
      <c r="AD636" s="1">
        <f t="shared" ref="AD636:AD698" si="214">IF(AND(N636&lt;AA636,O636&gt;AB636),AB636-AA636+1,0)</f>
        <v>0</v>
      </c>
      <c r="AE636" s="1">
        <f t="shared" ref="AE636:AE698" si="215">IF(AND(N636&gt;=AA636,O636&gt;AB636,N636&lt;AB636),AB636-N636+1,0)</f>
        <v>336</v>
      </c>
      <c r="AF636" s="1">
        <f t="shared" ref="AF636:AF698" si="216">IF(AND(N636&lt;AA636,O636&lt;=AB636,O636&gt;=AA636),O636-AA636+1,0)</f>
        <v>0</v>
      </c>
      <c r="AG636" s="1">
        <f t="shared" ref="AG636:AG698" si="217">IF(AND(N636&gt;=AA636,O636&lt;=AB636),O636-N636+1,0)</f>
        <v>0</v>
      </c>
      <c r="AH636" s="1">
        <f t="shared" ref="AH636:AH698" si="218">IF(AND(N636&lt;AA636,O636&lt;AA636),(AB636-AA636+1)/2,0)</f>
        <v>0</v>
      </c>
      <c r="AI636" s="5">
        <f t="shared" ref="AI636:AI698" si="219">SUM(AD636:AH636)/IF(U636&gt;=365,AB636-AA636+1,U636)</f>
        <v>0.92054794520547945</v>
      </c>
      <c r="AJ636" s="5">
        <f t="shared" ref="AJ636:AJ698" si="220">X636*AI636</f>
        <v>0.81028938906752412</v>
      </c>
      <c r="AK636" s="5">
        <f t="shared" ref="AK636:AK698" si="221">IF(AH636=0,AJ636*AC636,IF(AA636-O636&gt;1095,0,AJ636*(AC636/2)))</f>
        <v>16.205787781350484</v>
      </c>
      <c r="AL636" s="5">
        <f t="shared" ref="AL636:AL698" si="222">AK636*S636</f>
        <v>40.514469453376208</v>
      </c>
      <c r="AM636" s="5">
        <f t="shared" ref="AM636:AM698" si="223">IF(J636="SIM",AL636*50%,0)</f>
        <v>0</v>
      </c>
      <c r="AN636" s="5">
        <f t="shared" ref="AN636:AN698" si="224">AL636+AM636</f>
        <v>40.514469453376208</v>
      </c>
      <c r="AO636" s="1" t="s">
        <v>102</v>
      </c>
    </row>
    <row r="637" spans="1:41" x14ac:dyDescent="0.25">
      <c r="A637" s="1" t="s">
        <v>19</v>
      </c>
      <c r="B637" s="1" t="s">
        <v>37</v>
      </c>
      <c r="C637" s="1" t="s">
        <v>21</v>
      </c>
      <c r="D637" s="1" t="s">
        <v>38</v>
      </c>
      <c r="E637" s="1" t="s">
        <v>96</v>
      </c>
      <c r="F637" s="1" t="s">
        <v>103</v>
      </c>
      <c r="G637" s="1" t="s">
        <v>127</v>
      </c>
      <c r="H637" s="1" t="s">
        <v>562</v>
      </c>
      <c r="I637" s="1" t="s">
        <v>331</v>
      </c>
      <c r="J637" s="1" t="s">
        <v>101</v>
      </c>
      <c r="L637" s="1">
        <v>2945379</v>
      </c>
      <c r="M637" s="1" t="s">
        <v>840</v>
      </c>
      <c r="N637" s="8">
        <f t="shared" si="206"/>
        <v>44956</v>
      </c>
      <c r="O637" s="8">
        <f>DATE(2025,12,23)</f>
        <v>46014</v>
      </c>
      <c r="P637" s="1">
        <v>2548</v>
      </c>
      <c r="Q637" s="1">
        <v>2400</v>
      </c>
      <c r="R637" s="1">
        <f t="shared" si="207"/>
        <v>2400</v>
      </c>
      <c r="S637" s="1">
        <v>2.5</v>
      </c>
      <c r="U637" s="1">
        <f t="shared" si="208"/>
        <v>1059</v>
      </c>
      <c r="V637" s="7">
        <f t="shared" si="209"/>
        <v>2.2662889518413598</v>
      </c>
      <c r="W637" s="7">
        <f t="shared" si="210"/>
        <v>827.19546742209639</v>
      </c>
      <c r="X637" s="7">
        <f t="shared" si="211"/>
        <v>1.0339943342776206</v>
      </c>
      <c r="AA637" s="8">
        <f t="shared" si="212"/>
        <v>44927</v>
      </c>
      <c r="AB637" s="8">
        <f t="shared" si="213"/>
        <v>45291</v>
      </c>
      <c r="AC637" s="1">
        <v>14</v>
      </c>
      <c r="AD637" s="1">
        <f t="shared" si="214"/>
        <v>0</v>
      </c>
      <c r="AE637" s="1">
        <f t="shared" si="215"/>
        <v>336</v>
      </c>
      <c r="AF637" s="1">
        <f t="shared" si="216"/>
        <v>0</v>
      </c>
      <c r="AG637" s="1">
        <f t="shared" si="217"/>
        <v>0</v>
      </c>
      <c r="AH637" s="1">
        <f t="shared" si="218"/>
        <v>0</v>
      </c>
      <c r="AI637" s="5">
        <f t="shared" si="219"/>
        <v>0.92054794520547945</v>
      </c>
      <c r="AJ637" s="5">
        <f t="shared" si="220"/>
        <v>0.95184135977337125</v>
      </c>
      <c r="AK637" s="5">
        <f t="shared" si="221"/>
        <v>13.325779036827198</v>
      </c>
      <c r="AL637" s="5">
        <f t="shared" si="222"/>
        <v>33.314447592067992</v>
      </c>
      <c r="AM637" s="5">
        <f t="shared" si="223"/>
        <v>0</v>
      </c>
      <c r="AN637" s="5">
        <f t="shared" si="224"/>
        <v>33.314447592067992</v>
      </c>
      <c r="AO637" s="1" t="s">
        <v>102</v>
      </c>
    </row>
    <row r="638" spans="1:41" x14ac:dyDescent="0.25">
      <c r="A638" s="1" t="s">
        <v>19</v>
      </c>
      <c r="B638" s="1" t="s">
        <v>37</v>
      </c>
      <c r="C638" s="1" t="s">
        <v>21</v>
      </c>
      <c r="D638" s="1" t="s">
        <v>38</v>
      </c>
      <c r="E638" s="1" t="s">
        <v>96</v>
      </c>
      <c r="F638" s="1" t="s">
        <v>103</v>
      </c>
      <c r="G638" s="1" t="s">
        <v>127</v>
      </c>
      <c r="H638" s="1" t="s">
        <v>518</v>
      </c>
      <c r="I638" s="1" t="s">
        <v>162</v>
      </c>
      <c r="J638" s="1" t="s">
        <v>101</v>
      </c>
      <c r="L638" s="1">
        <v>2945380</v>
      </c>
      <c r="M638" s="1" t="s">
        <v>841</v>
      </c>
      <c r="N638" s="8">
        <f t="shared" si="206"/>
        <v>44956</v>
      </c>
      <c r="O638" s="8">
        <f>DATE(2025,12,23)</f>
        <v>46014</v>
      </c>
      <c r="P638" s="1">
        <v>2130</v>
      </c>
      <c r="Q638" s="1">
        <v>2000</v>
      </c>
      <c r="R638" s="1">
        <f t="shared" si="207"/>
        <v>2000</v>
      </c>
      <c r="S638" s="1">
        <v>1.5</v>
      </c>
      <c r="U638" s="1">
        <f t="shared" si="208"/>
        <v>1059</v>
      </c>
      <c r="V638" s="7">
        <f t="shared" si="209"/>
        <v>1.8885741265344664</v>
      </c>
      <c r="W638" s="7">
        <f t="shared" si="210"/>
        <v>689.32955618508026</v>
      </c>
      <c r="X638" s="7">
        <f t="shared" si="211"/>
        <v>0.86166194523135031</v>
      </c>
      <c r="AA638" s="8">
        <f t="shared" si="212"/>
        <v>44927</v>
      </c>
      <c r="AB638" s="8">
        <f t="shared" si="213"/>
        <v>45291</v>
      </c>
      <c r="AC638" s="1">
        <v>15</v>
      </c>
      <c r="AD638" s="1">
        <f t="shared" si="214"/>
        <v>0</v>
      </c>
      <c r="AE638" s="1">
        <f t="shared" si="215"/>
        <v>336</v>
      </c>
      <c r="AF638" s="1">
        <f t="shared" si="216"/>
        <v>0</v>
      </c>
      <c r="AG638" s="1">
        <f t="shared" si="217"/>
        <v>0</v>
      </c>
      <c r="AH638" s="1">
        <f t="shared" si="218"/>
        <v>0</v>
      </c>
      <c r="AI638" s="5">
        <f t="shared" si="219"/>
        <v>0.92054794520547945</v>
      </c>
      <c r="AJ638" s="5">
        <f t="shared" si="220"/>
        <v>0.79320113314447593</v>
      </c>
      <c r="AK638" s="5">
        <f t="shared" si="221"/>
        <v>11.898016997167138</v>
      </c>
      <c r="AL638" s="5">
        <f t="shared" si="222"/>
        <v>17.847025495750707</v>
      </c>
      <c r="AM638" s="5">
        <f t="shared" si="223"/>
        <v>0</v>
      </c>
      <c r="AN638" s="5">
        <f t="shared" si="224"/>
        <v>17.847025495750707</v>
      </c>
      <c r="AO638" s="1" t="s">
        <v>102</v>
      </c>
    </row>
    <row r="639" spans="1:41" x14ac:dyDescent="0.25">
      <c r="A639" s="1" t="s">
        <v>19</v>
      </c>
      <c r="B639" s="1" t="s">
        <v>37</v>
      </c>
      <c r="C639" s="1" t="s">
        <v>21</v>
      </c>
      <c r="D639" s="1" t="s">
        <v>38</v>
      </c>
      <c r="E639" s="1" t="s">
        <v>96</v>
      </c>
      <c r="F639" s="1" t="s">
        <v>103</v>
      </c>
      <c r="G639" s="1" t="s">
        <v>127</v>
      </c>
      <c r="H639" s="1" t="s">
        <v>528</v>
      </c>
      <c r="I639" s="1" t="s">
        <v>162</v>
      </c>
      <c r="J639" s="1" t="s">
        <v>101</v>
      </c>
      <c r="L639" s="1">
        <v>2945381</v>
      </c>
      <c r="M639" s="1" t="s">
        <v>842</v>
      </c>
      <c r="N639" s="8">
        <f t="shared" si="206"/>
        <v>44956</v>
      </c>
      <c r="O639" s="8">
        <f>DATE(2025,12,23)</f>
        <v>46014</v>
      </c>
      <c r="P639" s="1">
        <v>2130</v>
      </c>
      <c r="Q639" s="1">
        <v>2000</v>
      </c>
      <c r="R639" s="1">
        <f t="shared" si="207"/>
        <v>2000</v>
      </c>
      <c r="S639" s="1">
        <v>1</v>
      </c>
      <c r="U639" s="1">
        <f t="shared" si="208"/>
        <v>1059</v>
      </c>
      <c r="V639" s="7">
        <f t="shared" si="209"/>
        <v>1.8885741265344664</v>
      </c>
      <c r="W639" s="7">
        <f t="shared" si="210"/>
        <v>689.32955618508026</v>
      </c>
      <c r="X639" s="7">
        <f t="shared" si="211"/>
        <v>0.86166194523135031</v>
      </c>
      <c r="AA639" s="8">
        <f t="shared" si="212"/>
        <v>44927</v>
      </c>
      <c r="AB639" s="8">
        <f t="shared" si="213"/>
        <v>45291</v>
      </c>
      <c r="AC639" s="1">
        <v>33</v>
      </c>
      <c r="AD639" s="1">
        <f t="shared" si="214"/>
        <v>0</v>
      </c>
      <c r="AE639" s="1">
        <f t="shared" si="215"/>
        <v>336</v>
      </c>
      <c r="AF639" s="1">
        <f t="shared" si="216"/>
        <v>0</v>
      </c>
      <c r="AG639" s="1">
        <f t="shared" si="217"/>
        <v>0</v>
      </c>
      <c r="AH639" s="1">
        <f t="shared" si="218"/>
        <v>0</v>
      </c>
      <c r="AI639" s="5">
        <f t="shared" si="219"/>
        <v>0.92054794520547945</v>
      </c>
      <c r="AJ639" s="5">
        <f t="shared" si="220"/>
        <v>0.79320113314447593</v>
      </c>
      <c r="AK639" s="5">
        <f t="shared" si="221"/>
        <v>26.175637393767705</v>
      </c>
      <c r="AL639" s="5">
        <f t="shared" si="222"/>
        <v>26.175637393767705</v>
      </c>
      <c r="AM639" s="5">
        <f t="shared" si="223"/>
        <v>0</v>
      </c>
      <c r="AN639" s="5">
        <f t="shared" si="224"/>
        <v>26.175637393767705</v>
      </c>
      <c r="AO639" s="1" t="s">
        <v>102</v>
      </c>
    </row>
    <row r="640" spans="1:41" x14ac:dyDescent="0.25">
      <c r="A640" s="1" t="s">
        <v>19</v>
      </c>
      <c r="B640" s="1" t="s">
        <v>37</v>
      </c>
      <c r="C640" s="1" t="s">
        <v>21</v>
      </c>
      <c r="D640" s="1" t="s">
        <v>38</v>
      </c>
      <c r="E640" s="1" t="s">
        <v>96</v>
      </c>
      <c r="F640" s="1" t="s">
        <v>103</v>
      </c>
      <c r="G640" s="1" t="s">
        <v>634</v>
      </c>
      <c r="H640" s="1" t="s">
        <v>635</v>
      </c>
      <c r="I640" s="1" t="s">
        <v>174</v>
      </c>
      <c r="J640" s="1" t="s">
        <v>101</v>
      </c>
      <c r="L640" s="1">
        <v>2945641</v>
      </c>
      <c r="M640" s="1" t="s">
        <v>843</v>
      </c>
      <c r="N640" s="8">
        <f>DATE(2023,3,13)</f>
        <v>44998</v>
      </c>
      <c r="O640" s="8">
        <f>DATE(2025,3,31)</f>
        <v>45747</v>
      </c>
      <c r="P640" s="1">
        <v>630</v>
      </c>
      <c r="Q640" s="1">
        <v>360</v>
      </c>
      <c r="R640" s="1">
        <f t="shared" si="207"/>
        <v>360</v>
      </c>
      <c r="S640" s="1">
        <v>3.75</v>
      </c>
      <c r="U640" s="1">
        <f t="shared" si="208"/>
        <v>750</v>
      </c>
      <c r="V640" s="7">
        <f t="shared" si="209"/>
        <v>0.48</v>
      </c>
      <c r="W640" s="7">
        <f t="shared" si="210"/>
        <v>175.2</v>
      </c>
      <c r="X640" s="7">
        <f t="shared" si="211"/>
        <v>0.21899999999999997</v>
      </c>
      <c r="AA640" s="8">
        <f t="shared" si="212"/>
        <v>44927</v>
      </c>
      <c r="AB640" s="8">
        <f t="shared" si="213"/>
        <v>45291</v>
      </c>
      <c r="AC640" s="1">
        <v>23</v>
      </c>
      <c r="AD640" s="1">
        <f t="shared" si="214"/>
        <v>0</v>
      </c>
      <c r="AE640" s="1">
        <f t="shared" si="215"/>
        <v>294</v>
      </c>
      <c r="AF640" s="1">
        <f t="shared" si="216"/>
        <v>0</v>
      </c>
      <c r="AG640" s="1">
        <f t="shared" si="217"/>
        <v>0</v>
      </c>
      <c r="AH640" s="1">
        <f t="shared" si="218"/>
        <v>0</v>
      </c>
      <c r="AI640" s="5">
        <f t="shared" si="219"/>
        <v>0.80547945205479454</v>
      </c>
      <c r="AJ640" s="5">
        <f t="shared" si="220"/>
        <v>0.17639999999999997</v>
      </c>
      <c r="AK640" s="5">
        <f t="shared" si="221"/>
        <v>4.057199999999999</v>
      </c>
      <c r="AL640" s="5">
        <f t="shared" si="222"/>
        <v>15.214499999999996</v>
      </c>
      <c r="AM640" s="5">
        <f t="shared" si="223"/>
        <v>0</v>
      </c>
      <c r="AN640" s="5">
        <f t="shared" si="224"/>
        <v>15.214499999999996</v>
      </c>
      <c r="AO640" s="1" t="s">
        <v>102</v>
      </c>
    </row>
    <row r="641" spans="1:41" x14ac:dyDescent="0.25">
      <c r="A641" s="1" t="s">
        <v>19</v>
      </c>
      <c r="B641" s="1" t="s">
        <v>37</v>
      </c>
      <c r="C641" s="1" t="s">
        <v>21</v>
      </c>
      <c r="D641" s="1" t="s">
        <v>38</v>
      </c>
      <c r="E641" s="1" t="s">
        <v>172</v>
      </c>
      <c r="F641" s="1" t="s">
        <v>534</v>
      </c>
      <c r="G641" s="1" t="s">
        <v>127</v>
      </c>
      <c r="H641" s="1" t="s">
        <v>528</v>
      </c>
      <c r="I641" s="1" t="s">
        <v>162</v>
      </c>
      <c r="J641" s="1" t="s">
        <v>101</v>
      </c>
      <c r="L641" s="1">
        <v>2945846</v>
      </c>
      <c r="M641" s="1" t="s">
        <v>844</v>
      </c>
      <c r="N641" s="8">
        <f>DATE(2023,3,17)</f>
        <v>45002</v>
      </c>
      <c r="O641" s="8">
        <f t="shared" ref="O641:O646" si="225">DATE(2025,12,23)</f>
        <v>46014</v>
      </c>
      <c r="P641" s="1">
        <v>2340</v>
      </c>
      <c r="Q641" s="1">
        <v>2000</v>
      </c>
      <c r="R641" s="1">
        <f t="shared" si="207"/>
        <v>2000</v>
      </c>
      <c r="S641" s="1">
        <v>1</v>
      </c>
      <c r="U641" s="1">
        <f t="shared" si="208"/>
        <v>1013</v>
      </c>
      <c r="V641" s="7">
        <f t="shared" si="209"/>
        <v>1.9743336623889438</v>
      </c>
      <c r="W641" s="7">
        <f t="shared" si="210"/>
        <v>720.63178677196447</v>
      </c>
      <c r="X641" s="7">
        <f t="shared" si="211"/>
        <v>0.90078973346495561</v>
      </c>
      <c r="AA641" s="8">
        <f t="shared" si="212"/>
        <v>44927</v>
      </c>
      <c r="AB641" s="8">
        <f t="shared" si="213"/>
        <v>45291</v>
      </c>
      <c r="AC641" s="1">
        <v>1</v>
      </c>
      <c r="AD641" s="1">
        <f t="shared" si="214"/>
        <v>0</v>
      </c>
      <c r="AE641" s="1">
        <f t="shared" si="215"/>
        <v>290</v>
      </c>
      <c r="AF641" s="1">
        <f t="shared" si="216"/>
        <v>0</v>
      </c>
      <c r="AG641" s="1">
        <f t="shared" si="217"/>
        <v>0</v>
      </c>
      <c r="AH641" s="1">
        <f t="shared" si="218"/>
        <v>0</v>
      </c>
      <c r="AI641" s="5">
        <f t="shared" si="219"/>
        <v>0.79452054794520544</v>
      </c>
      <c r="AJ641" s="5">
        <f t="shared" si="220"/>
        <v>0.71569595261599206</v>
      </c>
      <c r="AK641" s="5">
        <f t="shared" si="221"/>
        <v>0.71569595261599206</v>
      </c>
      <c r="AL641" s="5">
        <f t="shared" si="222"/>
        <v>0.71569595261599206</v>
      </c>
      <c r="AM641" s="5">
        <f t="shared" si="223"/>
        <v>0</v>
      </c>
      <c r="AN641" s="5">
        <f t="shared" si="224"/>
        <v>0.71569595261599206</v>
      </c>
      <c r="AO641" s="1" t="s">
        <v>111</v>
      </c>
    </row>
    <row r="642" spans="1:41" x14ac:dyDescent="0.25">
      <c r="A642" s="1" t="s">
        <v>19</v>
      </c>
      <c r="B642" s="1" t="s">
        <v>37</v>
      </c>
      <c r="C642" s="1" t="s">
        <v>21</v>
      </c>
      <c r="D642" s="1" t="s">
        <v>38</v>
      </c>
      <c r="E642" s="1" t="s">
        <v>172</v>
      </c>
      <c r="F642" s="1" t="s">
        <v>534</v>
      </c>
      <c r="G642" s="1" t="s">
        <v>127</v>
      </c>
      <c r="H642" s="1" t="s">
        <v>528</v>
      </c>
      <c r="I642" s="1" t="s">
        <v>162</v>
      </c>
      <c r="J642" s="1" t="s">
        <v>101</v>
      </c>
      <c r="L642" s="1">
        <v>2945830</v>
      </c>
      <c r="M642" s="1" t="s">
        <v>845</v>
      </c>
      <c r="N642" s="8">
        <f>DATE(2023,3,20)</f>
        <v>45005</v>
      </c>
      <c r="O642" s="8">
        <f t="shared" si="225"/>
        <v>46014</v>
      </c>
      <c r="P642" s="1">
        <v>2340</v>
      </c>
      <c r="Q642" s="1">
        <v>2000</v>
      </c>
      <c r="R642" s="1">
        <f t="shared" si="207"/>
        <v>2000</v>
      </c>
      <c r="S642" s="1">
        <v>1</v>
      </c>
      <c r="U642" s="1">
        <f t="shared" si="208"/>
        <v>1010</v>
      </c>
      <c r="V642" s="7">
        <f t="shared" si="209"/>
        <v>1.9801980198019802</v>
      </c>
      <c r="W642" s="7">
        <f t="shared" si="210"/>
        <v>722.77227722772273</v>
      </c>
      <c r="X642" s="7">
        <f t="shared" si="211"/>
        <v>0.90346534653465338</v>
      </c>
      <c r="AA642" s="8">
        <f t="shared" si="212"/>
        <v>44927</v>
      </c>
      <c r="AB642" s="8">
        <f t="shared" si="213"/>
        <v>45291</v>
      </c>
      <c r="AC642" s="1">
        <v>20</v>
      </c>
      <c r="AD642" s="1">
        <f t="shared" si="214"/>
        <v>0</v>
      </c>
      <c r="AE642" s="1">
        <f t="shared" si="215"/>
        <v>287</v>
      </c>
      <c r="AF642" s="1">
        <f t="shared" si="216"/>
        <v>0</v>
      </c>
      <c r="AG642" s="1">
        <f t="shared" si="217"/>
        <v>0</v>
      </c>
      <c r="AH642" s="1">
        <f t="shared" si="218"/>
        <v>0</v>
      </c>
      <c r="AI642" s="5">
        <f t="shared" si="219"/>
        <v>0.78630136986301369</v>
      </c>
      <c r="AJ642" s="5">
        <f t="shared" si="220"/>
        <v>0.71039603960396036</v>
      </c>
      <c r="AK642" s="5">
        <f t="shared" si="221"/>
        <v>14.207920792079207</v>
      </c>
      <c r="AL642" s="5">
        <f t="shared" si="222"/>
        <v>14.207920792079207</v>
      </c>
      <c r="AM642" s="5">
        <f t="shared" si="223"/>
        <v>0</v>
      </c>
      <c r="AN642" s="5">
        <f t="shared" si="224"/>
        <v>14.207920792079207</v>
      </c>
      <c r="AO642" s="1" t="s">
        <v>111</v>
      </c>
    </row>
    <row r="643" spans="1:41" x14ac:dyDescent="0.25">
      <c r="A643" s="1" t="s">
        <v>19</v>
      </c>
      <c r="B643" s="1" t="s">
        <v>37</v>
      </c>
      <c r="C643" s="1" t="s">
        <v>21</v>
      </c>
      <c r="D643" s="1" t="s">
        <v>38</v>
      </c>
      <c r="E643" s="1" t="s">
        <v>172</v>
      </c>
      <c r="F643" s="1" t="s">
        <v>534</v>
      </c>
      <c r="G643" s="1" t="s">
        <v>127</v>
      </c>
      <c r="H643" s="1" t="s">
        <v>528</v>
      </c>
      <c r="I643" s="1" t="s">
        <v>162</v>
      </c>
      <c r="J643" s="1" t="s">
        <v>101</v>
      </c>
      <c r="L643" s="1">
        <v>2945839</v>
      </c>
      <c r="M643" s="1" t="s">
        <v>846</v>
      </c>
      <c r="N643" s="8">
        <f>DATE(2023,3,21)</f>
        <v>45006</v>
      </c>
      <c r="O643" s="8">
        <f t="shared" si="225"/>
        <v>46014</v>
      </c>
      <c r="P643" s="1">
        <v>2340</v>
      </c>
      <c r="Q643" s="1">
        <v>2000</v>
      </c>
      <c r="R643" s="1">
        <f t="shared" si="207"/>
        <v>2000</v>
      </c>
      <c r="S643" s="1">
        <v>1</v>
      </c>
      <c r="U643" s="1">
        <f t="shared" si="208"/>
        <v>1009</v>
      </c>
      <c r="V643" s="7">
        <f t="shared" si="209"/>
        <v>1.9821605550049555</v>
      </c>
      <c r="W643" s="7">
        <f t="shared" si="210"/>
        <v>723.48860257680872</v>
      </c>
      <c r="X643" s="7">
        <f t="shared" si="211"/>
        <v>0.90436075322101095</v>
      </c>
      <c r="AA643" s="8">
        <f t="shared" si="212"/>
        <v>44927</v>
      </c>
      <c r="AB643" s="8">
        <f t="shared" si="213"/>
        <v>45291</v>
      </c>
      <c r="AC643" s="1">
        <v>8</v>
      </c>
      <c r="AD643" s="1">
        <f t="shared" si="214"/>
        <v>0</v>
      </c>
      <c r="AE643" s="1">
        <f t="shared" si="215"/>
        <v>286</v>
      </c>
      <c r="AF643" s="1">
        <f t="shared" si="216"/>
        <v>0</v>
      </c>
      <c r="AG643" s="1">
        <f t="shared" si="217"/>
        <v>0</v>
      </c>
      <c r="AH643" s="1">
        <f t="shared" si="218"/>
        <v>0</v>
      </c>
      <c r="AI643" s="5">
        <f t="shared" si="219"/>
        <v>0.78356164383561644</v>
      </c>
      <c r="AJ643" s="5">
        <f t="shared" si="220"/>
        <v>0.70862239841427155</v>
      </c>
      <c r="AK643" s="5">
        <f t="shared" si="221"/>
        <v>5.6689791873141724</v>
      </c>
      <c r="AL643" s="5">
        <f t="shared" si="222"/>
        <v>5.6689791873141724</v>
      </c>
      <c r="AM643" s="5">
        <f t="shared" si="223"/>
        <v>0</v>
      </c>
      <c r="AN643" s="5">
        <f t="shared" si="224"/>
        <v>5.6689791873141724</v>
      </c>
      <c r="AO643" s="1" t="s">
        <v>111</v>
      </c>
    </row>
    <row r="644" spans="1:41" x14ac:dyDescent="0.25">
      <c r="A644" s="1" t="s">
        <v>19</v>
      </c>
      <c r="B644" s="1" t="s">
        <v>37</v>
      </c>
      <c r="C644" s="1" t="s">
        <v>21</v>
      </c>
      <c r="D644" s="1" t="s">
        <v>38</v>
      </c>
      <c r="E644" s="1" t="s">
        <v>172</v>
      </c>
      <c r="F644" s="1" t="s">
        <v>534</v>
      </c>
      <c r="G644" s="1" t="s">
        <v>127</v>
      </c>
      <c r="H644" s="1" t="s">
        <v>528</v>
      </c>
      <c r="I644" s="1" t="s">
        <v>162</v>
      </c>
      <c r="J644" s="1" t="s">
        <v>101</v>
      </c>
      <c r="L644" s="1">
        <v>2945840</v>
      </c>
      <c r="M644" s="1" t="s">
        <v>847</v>
      </c>
      <c r="N644" s="8">
        <f>DATE(2023,3,22)</f>
        <v>45007</v>
      </c>
      <c r="O644" s="8">
        <f t="shared" si="225"/>
        <v>46014</v>
      </c>
      <c r="P644" s="1">
        <v>2340</v>
      </c>
      <c r="Q644" s="1">
        <v>2000</v>
      </c>
      <c r="R644" s="1">
        <f t="shared" si="207"/>
        <v>2000</v>
      </c>
      <c r="S644" s="1">
        <v>1</v>
      </c>
      <c r="U644" s="1">
        <f t="shared" si="208"/>
        <v>1008</v>
      </c>
      <c r="V644" s="7">
        <f t="shared" si="209"/>
        <v>1.9841269841269842</v>
      </c>
      <c r="W644" s="7">
        <f t="shared" si="210"/>
        <v>724.20634920634927</v>
      </c>
      <c r="X644" s="7">
        <f t="shared" si="211"/>
        <v>0.90525793650793662</v>
      </c>
      <c r="AA644" s="8">
        <f t="shared" si="212"/>
        <v>44927</v>
      </c>
      <c r="AB644" s="8">
        <f t="shared" si="213"/>
        <v>45291</v>
      </c>
      <c r="AC644" s="1">
        <v>11</v>
      </c>
      <c r="AD644" s="1">
        <f t="shared" si="214"/>
        <v>0</v>
      </c>
      <c r="AE644" s="1">
        <f t="shared" si="215"/>
        <v>285</v>
      </c>
      <c r="AF644" s="1">
        <f t="shared" si="216"/>
        <v>0</v>
      </c>
      <c r="AG644" s="1">
        <f t="shared" si="217"/>
        <v>0</v>
      </c>
      <c r="AH644" s="1">
        <f t="shared" si="218"/>
        <v>0</v>
      </c>
      <c r="AI644" s="5">
        <f t="shared" si="219"/>
        <v>0.78082191780821919</v>
      </c>
      <c r="AJ644" s="5">
        <f t="shared" si="220"/>
        <v>0.70684523809523825</v>
      </c>
      <c r="AK644" s="5">
        <f t="shared" si="221"/>
        <v>7.7752976190476204</v>
      </c>
      <c r="AL644" s="5">
        <f t="shared" si="222"/>
        <v>7.7752976190476204</v>
      </c>
      <c r="AM644" s="5">
        <f t="shared" si="223"/>
        <v>0</v>
      </c>
      <c r="AN644" s="5">
        <f t="shared" si="224"/>
        <v>7.7752976190476204</v>
      </c>
      <c r="AO644" s="1" t="s">
        <v>111</v>
      </c>
    </row>
    <row r="645" spans="1:41" x14ac:dyDescent="0.25">
      <c r="A645" s="1" t="s">
        <v>19</v>
      </c>
      <c r="B645" s="1" t="s">
        <v>37</v>
      </c>
      <c r="C645" s="1" t="s">
        <v>21</v>
      </c>
      <c r="D645" s="1" t="s">
        <v>38</v>
      </c>
      <c r="E645" s="1" t="s">
        <v>172</v>
      </c>
      <c r="F645" s="1" t="s">
        <v>534</v>
      </c>
      <c r="G645" s="1" t="s">
        <v>127</v>
      </c>
      <c r="H645" s="1" t="s">
        <v>528</v>
      </c>
      <c r="I645" s="1" t="s">
        <v>162</v>
      </c>
      <c r="J645" s="1" t="s">
        <v>101</v>
      </c>
      <c r="L645" s="1">
        <v>2945841</v>
      </c>
      <c r="M645" s="1" t="s">
        <v>848</v>
      </c>
      <c r="N645" s="8">
        <f>DATE(2023,3,23)</f>
        <v>45008</v>
      </c>
      <c r="O645" s="8">
        <f t="shared" si="225"/>
        <v>46014</v>
      </c>
      <c r="P645" s="1">
        <v>2340</v>
      </c>
      <c r="Q645" s="1">
        <v>2000</v>
      </c>
      <c r="R645" s="1">
        <f t="shared" si="207"/>
        <v>2000</v>
      </c>
      <c r="S645" s="1">
        <v>1</v>
      </c>
      <c r="U645" s="1">
        <f t="shared" si="208"/>
        <v>1007</v>
      </c>
      <c r="V645" s="7">
        <f t="shared" si="209"/>
        <v>1.9860973187686197</v>
      </c>
      <c r="W645" s="7">
        <f t="shared" si="210"/>
        <v>724.92552135054621</v>
      </c>
      <c r="X645" s="7">
        <f t="shared" si="211"/>
        <v>0.90615690168818275</v>
      </c>
      <c r="AA645" s="8">
        <f t="shared" si="212"/>
        <v>44927</v>
      </c>
      <c r="AB645" s="8">
        <f t="shared" si="213"/>
        <v>45291</v>
      </c>
      <c r="AC645" s="1">
        <v>70</v>
      </c>
      <c r="AD645" s="1">
        <f t="shared" si="214"/>
        <v>0</v>
      </c>
      <c r="AE645" s="1">
        <f t="shared" si="215"/>
        <v>284</v>
      </c>
      <c r="AF645" s="1">
        <f t="shared" si="216"/>
        <v>0</v>
      </c>
      <c r="AG645" s="1">
        <f t="shared" si="217"/>
        <v>0</v>
      </c>
      <c r="AH645" s="1">
        <f t="shared" si="218"/>
        <v>0</v>
      </c>
      <c r="AI645" s="5">
        <f t="shared" si="219"/>
        <v>0.77808219178082194</v>
      </c>
      <c r="AJ645" s="5">
        <f t="shared" si="220"/>
        <v>0.70506454816286002</v>
      </c>
      <c r="AK645" s="5">
        <f t="shared" si="221"/>
        <v>49.354518371400204</v>
      </c>
      <c r="AL645" s="5">
        <f t="shared" si="222"/>
        <v>49.354518371400204</v>
      </c>
      <c r="AM645" s="5">
        <f t="shared" si="223"/>
        <v>0</v>
      </c>
      <c r="AN645" s="5">
        <f t="shared" si="224"/>
        <v>49.354518371400204</v>
      </c>
      <c r="AO645" s="1" t="s">
        <v>111</v>
      </c>
    </row>
    <row r="646" spans="1:41" x14ac:dyDescent="0.25">
      <c r="A646" s="1" t="s">
        <v>19</v>
      </c>
      <c r="B646" s="1" t="s">
        <v>37</v>
      </c>
      <c r="C646" s="1" t="s">
        <v>21</v>
      </c>
      <c r="D646" s="1" t="s">
        <v>38</v>
      </c>
      <c r="E646" s="1" t="s">
        <v>172</v>
      </c>
      <c r="F646" s="1" t="s">
        <v>534</v>
      </c>
      <c r="G646" s="1" t="s">
        <v>127</v>
      </c>
      <c r="H646" s="1" t="s">
        <v>528</v>
      </c>
      <c r="I646" s="1" t="s">
        <v>162</v>
      </c>
      <c r="J646" s="1" t="s">
        <v>101</v>
      </c>
      <c r="L646" s="1">
        <v>2945844</v>
      </c>
      <c r="M646" s="1" t="s">
        <v>849</v>
      </c>
      <c r="N646" s="8">
        <f>DATE(2023,3,24)</f>
        <v>45009</v>
      </c>
      <c r="O646" s="8">
        <f t="shared" si="225"/>
        <v>46014</v>
      </c>
      <c r="P646" s="1">
        <v>2340</v>
      </c>
      <c r="Q646" s="1">
        <v>2000</v>
      </c>
      <c r="R646" s="1">
        <f t="shared" si="207"/>
        <v>2000</v>
      </c>
      <c r="S646" s="1">
        <v>1</v>
      </c>
      <c r="U646" s="1">
        <f t="shared" si="208"/>
        <v>1006</v>
      </c>
      <c r="V646" s="7">
        <f t="shared" si="209"/>
        <v>1.9880715705765408</v>
      </c>
      <c r="W646" s="7">
        <f t="shared" si="210"/>
        <v>725.64612326043743</v>
      </c>
      <c r="X646" s="7">
        <f t="shared" si="211"/>
        <v>0.90705765407554684</v>
      </c>
      <c r="AA646" s="8">
        <f t="shared" si="212"/>
        <v>44927</v>
      </c>
      <c r="AB646" s="8">
        <f t="shared" si="213"/>
        <v>45291</v>
      </c>
      <c r="AC646" s="1">
        <v>17</v>
      </c>
      <c r="AD646" s="1">
        <f t="shared" si="214"/>
        <v>0</v>
      </c>
      <c r="AE646" s="1">
        <f t="shared" si="215"/>
        <v>283</v>
      </c>
      <c r="AF646" s="1">
        <f t="shared" si="216"/>
        <v>0</v>
      </c>
      <c r="AG646" s="1">
        <f t="shared" si="217"/>
        <v>0</v>
      </c>
      <c r="AH646" s="1">
        <f t="shared" si="218"/>
        <v>0</v>
      </c>
      <c r="AI646" s="5">
        <f t="shared" si="219"/>
        <v>0.77534246575342469</v>
      </c>
      <c r="AJ646" s="5">
        <f t="shared" si="220"/>
        <v>0.70328031809145142</v>
      </c>
      <c r="AK646" s="5">
        <f t="shared" si="221"/>
        <v>11.955765407554674</v>
      </c>
      <c r="AL646" s="5">
        <f t="shared" si="222"/>
        <v>11.955765407554674</v>
      </c>
      <c r="AM646" s="5">
        <f t="shared" si="223"/>
        <v>0</v>
      </c>
      <c r="AN646" s="5">
        <f t="shared" si="224"/>
        <v>11.955765407554674</v>
      </c>
      <c r="AO646" s="1" t="s">
        <v>111</v>
      </c>
    </row>
    <row r="647" spans="1:41" x14ac:dyDescent="0.25">
      <c r="A647" s="1" t="s">
        <v>19</v>
      </c>
      <c r="B647" s="1" t="s">
        <v>37</v>
      </c>
      <c r="C647" s="1" t="s">
        <v>21</v>
      </c>
      <c r="D647" s="1" t="s">
        <v>38</v>
      </c>
      <c r="E647" s="1" t="s">
        <v>96</v>
      </c>
      <c r="F647" s="1" t="s">
        <v>103</v>
      </c>
      <c r="G647" s="1" t="s">
        <v>702</v>
      </c>
      <c r="H647" s="1" t="s">
        <v>703</v>
      </c>
      <c r="I647" s="1" t="s">
        <v>174</v>
      </c>
      <c r="J647" s="1" t="s">
        <v>101</v>
      </c>
      <c r="L647" s="1">
        <v>2973201</v>
      </c>
      <c r="M647" s="1" t="s">
        <v>850</v>
      </c>
      <c r="N647" s="8">
        <f>DATE(2023,3,30)</f>
        <v>45015</v>
      </c>
      <c r="O647" s="8">
        <f>DATE(2025,3,31)</f>
        <v>45747</v>
      </c>
      <c r="P647" s="1">
        <v>480</v>
      </c>
      <c r="Q647" s="1">
        <v>360</v>
      </c>
      <c r="R647" s="1">
        <f t="shared" si="207"/>
        <v>360</v>
      </c>
      <c r="S647" s="1">
        <v>3.75</v>
      </c>
      <c r="U647" s="1">
        <f t="shared" si="208"/>
        <v>733</v>
      </c>
      <c r="V647" s="7">
        <f t="shared" si="209"/>
        <v>0.49113233287858116</v>
      </c>
      <c r="W647" s="7">
        <f t="shared" si="210"/>
        <v>179.26330150068213</v>
      </c>
      <c r="X647" s="7">
        <f t="shared" si="211"/>
        <v>0.22407912687585266</v>
      </c>
      <c r="AA647" s="8">
        <f t="shared" si="212"/>
        <v>44927</v>
      </c>
      <c r="AB647" s="8">
        <f t="shared" si="213"/>
        <v>45291</v>
      </c>
      <c r="AC647" s="1">
        <v>35</v>
      </c>
      <c r="AD647" s="1">
        <f t="shared" si="214"/>
        <v>0</v>
      </c>
      <c r="AE647" s="1">
        <f t="shared" si="215"/>
        <v>277</v>
      </c>
      <c r="AF647" s="1">
        <f t="shared" si="216"/>
        <v>0</v>
      </c>
      <c r="AG647" s="1">
        <f t="shared" si="217"/>
        <v>0</v>
      </c>
      <c r="AH647" s="1">
        <f t="shared" si="218"/>
        <v>0</v>
      </c>
      <c r="AI647" s="5">
        <f t="shared" si="219"/>
        <v>0.75890410958904109</v>
      </c>
      <c r="AJ647" s="5">
        <f t="shared" si="220"/>
        <v>0.17005457025920873</v>
      </c>
      <c r="AK647" s="5">
        <f t="shared" si="221"/>
        <v>5.9519099590723057</v>
      </c>
      <c r="AL647" s="5">
        <f t="shared" si="222"/>
        <v>22.319662346521145</v>
      </c>
      <c r="AM647" s="5">
        <f t="shared" si="223"/>
        <v>0</v>
      </c>
      <c r="AN647" s="5">
        <f t="shared" si="224"/>
        <v>22.319662346521145</v>
      </c>
      <c r="AO647" s="1" t="s">
        <v>102</v>
      </c>
    </row>
    <row r="648" spans="1:41" x14ac:dyDescent="0.25">
      <c r="A648" s="1" t="s">
        <v>19</v>
      </c>
      <c r="B648" s="1" t="s">
        <v>37</v>
      </c>
      <c r="C648" s="1" t="s">
        <v>21</v>
      </c>
      <c r="D648" s="1" t="s">
        <v>38</v>
      </c>
      <c r="E648" s="1" t="s">
        <v>172</v>
      </c>
      <c r="F648" s="1" t="s">
        <v>97</v>
      </c>
      <c r="G648" s="1" t="s">
        <v>114</v>
      </c>
      <c r="H648" s="1" t="s">
        <v>177</v>
      </c>
      <c r="I648" s="1" t="s">
        <v>174</v>
      </c>
      <c r="J648" s="1" t="s">
        <v>101</v>
      </c>
      <c r="K648" s="1" t="s">
        <v>175</v>
      </c>
      <c r="L648" s="1">
        <v>2959386</v>
      </c>
      <c r="M648" s="1" t="s">
        <v>851</v>
      </c>
      <c r="N648" s="8">
        <f>DATE(2023,4,1)</f>
        <v>45017</v>
      </c>
      <c r="O648" s="8">
        <f>DATE(2024,9,30)</f>
        <v>45565</v>
      </c>
      <c r="P648" s="1">
        <v>1200</v>
      </c>
      <c r="Q648" s="1">
        <v>1200</v>
      </c>
      <c r="R648" s="1">
        <f t="shared" si="207"/>
        <v>1200</v>
      </c>
      <c r="S648" s="1">
        <v>1</v>
      </c>
      <c r="U648" s="1">
        <f t="shared" si="208"/>
        <v>549</v>
      </c>
      <c r="V648" s="7">
        <f t="shared" si="209"/>
        <v>2.1857923497267762</v>
      </c>
      <c r="W648" s="7">
        <f t="shared" si="210"/>
        <v>797.81420765027326</v>
      </c>
      <c r="X648" s="7">
        <f t="shared" si="211"/>
        <v>0.99726775956284153</v>
      </c>
      <c r="AA648" s="8">
        <f t="shared" si="212"/>
        <v>44927</v>
      </c>
      <c r="AB648" s="8">
        <f t="shared" si="213"/>
        <v>45291</v>
      </c>
      <c r="AC648" s="1">
        <v>83</v>
      </c>
      <c r="AD648" s="1">
        <f t="shared" si="214"/>
        <v>0</v>
      </c>
      <c r="AE648" s="1">
        <f t="shared" si="215"/>
        <v>275</v>
      </c>
      <c r="AF648" s="1">
        <f t="shared" si="216"/>
        <v>0</v>
      </c>
      <c r="AG648" s="1">
        <f t="shared" si="217"/>
        <v>0</v>
      </c>
      <c r="AH648" s="1">
        <f t="shared" si="218"/>
        <v>0</v>
      </c>
      <c r="AI648" s="5">
        <f t="shared" si="219"/>
        <v>0.75342465753424659</v>
      </c>
      <c r="AJ648" s="5">
        <f t="shared" si="220"/>
        <v>0.75136612021857929</v>
      </c>
      <c r="AK648" s="5">
        <f t="shared" si="221"/>
        <v>62.363387978142079</v>
      </c>
      <c r="AL648" s="5">
        <f t="shared" si="222"/>
        <v>62.363387978142079</v>
      </c>
      <c r="AM648" s="5">
        <f t="shared" si="223"/>
        <v>0</v>
      </c>
      <c r="AN648" s="5">
        <f t="shared" si="224"/>
        <v>62.363387978142079</v>
      </c>
      <c r="AO648" s="1" t="s">
        <v>111</v>
      </c>
    </row>
    <row r="649" spans="1:41" x14ac:dyDescent="0.25">
      <c r="A649" s="1" t="s">
        <v>19</v>
      </c>
      <c r="B649" s="1" t="s">
        <v>37</v>
      </c>
      <c r="C649" s="1" t="s">
        <v>21</v>
      </c>
      <c r="D649" s="1" t="s">
        <v>38</v>
      </c>
      <c r="E649" s="1" t="s">
        <v>172</v>
      </c>
      <c r="F649" s="1" t="s">
        <v>97</v>
      </c>
      <c r="G649" s="1" t="s">
        <v>114</v>
      </c>
      <c r="H649" s="1" t="s">
        <v>173</v>
      </c>
      <c r="I649" s="1" t="s">
        <v>174</v>
      </c>
      <c r="J649" s="1" t="s">
        <v>101</v>
      </c>
      <c r="K649" s="1" t="s">
        <v>175</v>
      </c>
      <c r="L649" s="1">
        <v>2959464</v>
      </c>
      <c r="M649" s="1" t="s">
        <v>852</v>
      </c>
      <c r="N649" s="8">
        <f>DATE(2023,4,1)</f>
        <v>45017</v>
      </c>
      <c r="O649" s="8">
        <f>DATE(2024,9,30)</f>
        <v>45565</v>
      </c>
      <c r="P649" s="1">
        <v>1200</v>
      </c>
      <c r="Q649" s="1">
        <v>1200</v>
      </c>
      <c r="R649" s="1">
        <f t="shared" si="207"/>
        <v>1200</v>
      </c>
      <c r="S649" s="1">
        <v>2</v>
      </c>
      <c r="U649" s="1">
        <f t="shared" si="208"/>
        <v>549</v>
      </c>
      <c r="V649" s="7">
        <f t="shared" si="209"/>
        <v>2.1857923497267762</v>
      </c>
      <c r="W649" s="7">
        <f t="shared" si="210"/>
        <v>797.81420765027326</v>
      </c>
      <c r="X649" s="7">
        <f t="shared" si="211"/>
        <v>0.99726775956284153</v>
      </c>
      <c r="AA649" s="8">
        <f t="shared" si="212"/>
        <v>44927</v>
      </c>
      <c r="AB649" s="8">
        <f t="shared" si="213"/>
        <v>45291</v>
      </c>
      <c r="AC649" s="1">
        <v>32</v>
      </c>
      <c r="AD649" s="1">
        <f t="shared" si="214"/>
        <v>0</v>
      </c>
      <c r="AE649" s="1">
        <f t="shared" si="215"/>
        <v>275</v>
      </c>
      <c r="AF649" s="1">
        <f t="shared" si="216"/>
        <v>0</v>
      </c>
      <c r="AG649" s="1">
        <f t="shared" si="217"/>
        <v>0</v>
      </c>
      <c r="AH649" s="1">
        <f t="shared" si="218"/>
        <v>0</v>
      </c>
      <c r="AI649" s="5">
        <f t="shared" si="219"/>
        <v>0.75342465753424659</v>
      </c>
      <c r="AJ649" s="5">
        <f t="shared" si="220"/>
        <v>0.75136612021857929</v>
      </c>
      <c r="AK649" s="5">
        <f t="shared" si="221"/>
        <v>24.043715846994537</v>
      </c>
      <c r="AL649" s="5">
        <f t="shared" si="222"/>
        <v>48.087431693989075</v>
      </c>
      <c r="AM649" s="5">
        <f t="shared" si="223"/>
        <v>0</v>
      </c>
      <c r="AN649" s="5">
        <f t="shared" si="224"/>
        <v>48.087431693989075</v>
      </c>
      <c r="AO649" s="1" t="s">
        <v>111</v>
      </c>
    </row>
    <row r="650" spans="1:41" x14ac:dyDescent="0.25">
      <c r="A650" s="1" t="s">
        <v>19</v>
      </c>
      <c r="B650" s="1" t="s">
        <v>37</v>
      </c>
      <c r="C650" s="1" t="s">
        <v>21</v>
      </c>
      <c r="D650" s="1" t="s">
        <v>38</v>
      </c>
      <c r="E650" s="1" t="s">
        <v>172</v>
      </c>
      <c r="F650" s="1" t="s">
        <v>97</v>
      </c>
      <c r="G650" s="1" t="s">
        <v>114</v>
      </c>
      <c r="H650" s="1" t="s">
        <v>853</v>
      </c>
      <c r="I650" s="1" t="s">
        <v>174</v>
      </c>
      <c r="J650" s="1" t="s">
        <v>101</v>
      </c>
      <c r="K650" s="1" t="s">
        <v>175</v>
      </c>
      <c r="L650" s="1">
        <v>2959465</v>
      </c>
      <c r="M650" s="1" t="s">
        <v>854</v>
      </c>
      <c r="N650" s="8">
        <f>DATE(2023,4,1)</f>
        <v>45017</v>
      </c>
      <c r="O650" s="8">
        <f>DATE(2024,9,30)</f>
        <v>45565</v>
      </c>
      <c r="P650" s="1">
        <v>1200</v>
      </c>
      <c r="Q650" s="1">
        <v>1200</v>
      </c>
      <c r="R650" s="1">
        <f t="shared" si="207"/>
        <v>1200</v>
      </c>
      <c r="S650" s="1">
        <v>2.5</v>
      </c>
      <c r="U650" s="1">
        <f t="shared" si="208"/>
        <v>549</v>
      </c>
      <c r="V650" s="7">
        <f t="shared" si="209"/>
        <v>2.1857923497267762</v>
      </c>
      <c r="W650" s="7">
        <f t="shared" si="210"/>
        <v>797.81420765027326</v>
      </c>
      <c r="X650" s="7">
        <f t="shared" si="211"/>
        <v>0.99726775956284153</v>
      </c>
      <c r="AA650" s="8">
        <f t="shared" si="212"/>
        <v>44927</v>
      </c>
      <c r="AB650" s="8">
        <f t="shared" si="213"/>
        <v>45291</v>
      </c>
      <c r="AC650" s="1">
        <v>92</v>
      </c>
      <c r="AD650" s="1">
        <f t="shared" si="214"/>
        <v>0</v>
      </c>
      <c r="AE650" s="1">
        <f t="shared" si="215"/>
        <v>275</v>
      </c>
      <c r="AF650" s="1">
        <f t="shared" si="216"/>
        <v>0</v>
      </c>
      <c r="AG650" s="1">
        <f t="shared" si="217"/>
        <v>0</v>
      </c>
      <c r="AH650" s="1">
        <f t="shared" si="218"/>
        <v>0</v>
      </c>
      <c r="AI650" s="5">
        <f t="shared" si="219"/>
        <v>0.75342465753424659</v>
      </c>
      <c r="AJ650" s="5">
        <f t="shared" si="220"/>
        <v>0.75136612021857929</v>
      </c>
      <c r="AK650" s="5">
        <f t="shared" si="221"/>
        <v>69.125683060109296</v>
      </c>
      <c r="AL650" s="5">
        <f t="shared" si="222"/>
        <v>172.81420765027323</v>
      </c>
      <c r="AM650" s="5">
        <f t="shared" si="223"/>
        <v>0</v>
      </c>
      <c r="AN650" s="5">
        <f t="shared" si="224"/>
        <v>172.81420765027323</v>
      </c>
      <c r="AO650" s="1" t="s">
        <v>111</v>
      </c>
    </row>
    <row r="651" spans="1:41" x14ac:dyDescent="0.25">
      <c r="A651" s="1" t="s">
        <v>19</v>
      </c>
      <c r="B651" s="1" t="s">
        <v>37</v>
      </c>
      <c r="C651" s="1" t="s">
        <v>21</v>
      </c>
      <c r="D651" s="1" t="s">
        <v>38</v>
      </c>
      <c r="E651" s="1" t="s">
        <v>172</v>
      </c>
      <c r="F651" s="1" t="s">
        <v>97</v>
      </c>
      <c r="G651" s="1" t="s">
        <v>114</v>
      </c>
      <c r="H651" s="1" t="s">
        <v>179</v>
      </c>
      <c r="I651" s="1" t="s">
        <v>174</v>
      </c>
      <c r="J651" s="1" t="s">
        <v>101</v>
      </c>
      <c r="K651" s="1" t="s">
        <v>175</v>
      </c>
      <c r="L651" s="1">
        <v>2959467</v>
      </c>
      <c r="M651" s="1" t="s">
        <v>855</v>
      </c>
      <c r="N651" s="8">
        <f>DATE(2023,4,1)</f>
        <v>45017</v>
      </c>
      <c r="O651" s="8">
        <f>DATE(2024,9,30)</f>
        <v>45565</v>
      </c>
      <c r="P651" s="1">
        <v>1200</v>
      </c>
      <c r="Q651" s="1">
        <v>800</v>
      </c>
      <c r="R651" s="1">
        <f t="shared" si="207"/>
        <v>800</v>
      </c>
      <c r="S651" s="1">
        <v>1.5</v>
      </c>
      <c r="U651" s="1">
        <f t="shared" si="208"/>
        <v>549</v>
      </c>
      <c r="V651" s="7">
        <f t="shared" si="209"/>
        <v>1.4571948998178506</v>
      </c>
      <c r="W651" s="7">
        <f t="shared" si="210"/>
        <v>531.87613843351551</v>
      </c>
      <c r="X651" s="7">
        <f t="shared" si="211"/>
        <v>0.66484517304189439</v>
      </c>
      <c r="AA651" s="8">
        <f t="shared" si="212"/>
        <v>44927</v>
      </c>
      <c r="AB651" s="8">
        <f t="shared" si="213"/>
        <v>45291</v>
      </c>
      <c r="AC651" s="1">
        <v>56</v>
      </c>
      <c r="AD651" s="1">
        <f t="shared" si="214"/>
        <v>0</v>
      </c>
      <c r="AE651" s="1">
        <f t="shared" si="215"/>
        <v>275</v>
      </c>
      <c r="AF651" s="1">
        <f t="shared" si="216"/>
        <v>0</v>
      </c>
      <c r="AG651" s="1">
        <f t="shared" si="217"/>
        <v>0</v>
      </c>
      <c r="AH651" s="1">
        <f t="shared" si="218"/>
        <v>0</v>
      </c>
      <c r="AI651" s="5">
        <f t="shared" si="219"/>
        <v>0.75342465753424659</v>
      </c>
      <c r="AJ651" s="5">
        <f t="shared" si="220"/>
        <v>0.50091074681238623</v>
      </c>
      <c r="AK651" s="5">
        <f t="shared" si="221"/>
        <v>28.051001821493628</v>
      </c>
      <c r="AL651" s="5">
        <f t="shared" si="222"/>
        <v>42.076502732240442</v>
      </c>
      <c r="AM651" s="5">
        <f t="shared" si="223"/>
        <v>0</v>
      </c>
      <c r="AN651" s="5">
        <f t="shared" si="224"/>
        <v>42.076502732240442</v>
      </c>
      <c r="AO651" s="1" t="s">
        <v>111</v>
      </c>
    </row>
    <row r="652" spans="1:41" x14ac:dyDescent="0.25">
      <c r="A652" s="1" t="s">
        <v>19</v>
      </c>
      <c r="B652" s="1" t="s">
        <v>37</v>
      </c>
      <c r="C652" s="1" t="s">
        <v>21</v>
      </c>
      <c r="D652" s="1" t="s">
        <v>38</v>
      </c>
      <c r="E652" s="1" t="s">
        <v>96</v>
      </c>
      <c r="F652" s="1" t="s">
        <v>103</v>
      </c>
      <c r="G652" s="1" t="s">
        <v>114</v>
      </c>
      <c r="H652" s="1" t="s">
        <v>574</v>
      </c>
      <c r="I652" s="1" t="s">
        <v>331</v>
      </c>
      <c r="J652" s="1" t="s">
        <v>101</v>
      </c>
      <c r="K652" s="1" t="s">
        <v>175</v>
      </c>
      <c r="L652" s="1">
        <v>3009853</v>
      </c>
      <c r="M652" s="1" t="s">
        <v>856</v>
      </c>
      <c r="N652" s="8">
        <f t="shared" ref="N652:N665" si="226">DATE(2023,7,24)</f>
        <v>45131</v>
      </c>
      <c r="O652" s="8">
        <f>DATE(2025,6,27)</f>
        <v>45835</v>
      </c>
      <c r="P652" s="1">
        <v>1258</v>
      </c>
      <c r="Q652" s="1">
        <v>1200</v>
      </c>
      <c r="R652" s="1">
        <f t="shared" si="207"/>
        <v>1200</v>
      </c>
      <c r="S652" s="1">
        <v>2.5</v>
      </c>
      <c r="U652" s="1">
        <f t="shared" si="208"/>
        <v>705</v>
      </c>
      <c r="V652" s="7">
        <f t="shared" si="209"/>
        <v>1.7021276595744681</v>
      </c>
      <c r="W652" s="7">
        <f t="shared" si="210"/>
        <v>621.27659574468089</v>
      </c>
      <c r="X652" s="7">
        <f t="shared" si="211"/>
        <v>0.77659574468085113</v>
      </c>
      <c r="AA652" s="8">
        <f t="shared" si="212"/>
        <v>44927</v>
      </c>
      <c r="AB652" s="8">
        <f t="shared" si="213"/>
        <v>45291</v>
      </c>
      <c r="AC652" s="1">
        <v>20</v>
      </c>
      <c r="AD652" s="1">
        <f t="shared" si="214"/>
        <v>0</v>
      </c>
      <c r="AE652" s="1">
        <f t="shared" si="215"/>
        <v>161</v>
      </c>
      <c r="AF652" s="1">
        <f t="shared" si="216"/>
        <v>0</v>
      </c>
      <c r="AG652" s="1">
        <f t="shared" si="217"/>
        <v>0</v>
      </c>
      <c r="AH652" s="1">
        <f t="shared" si="218"/>
        <v>0</v>
      </c>
      <c r="AI652" s="5">
        <f t="shared" si="219"/>
        <v>0.44109589041095892</v>
      </c>
      <c r="AJ652" s="5">
        <f t="shared" si="220"/>
        <v>0.34255319148936175</v>
      </c>
      <c r="AK652" s="5">
        <f t="shared" si="221"/>
        <v>6.8510638297872353</v>
      </c>
      <c r="AL652" s="5">
        <f t="shared" si="222"/>
        <v>17.127659574468087</v>
      </c>
      <c r="AM652" s="5">
        <f t="shared" si="223"/>
        <v>0</v>
      </c>
      <c r="AN652" s="5">
        <f t="shared" si="224"/>
        <v>17.127659574468087</v>
      </c>
      <c r="AO652" s="1" t="s">
        <v>102</v>
      </c>
    </row>
    <row r="653" spans="1:41" x14ac:dyDescent="0.25">
      <c r="A653" s="1" t="s">
        <v>19</v>
      </c>
      <c r="B653" s="1" t="s">
        <v>37</v>
      </c>
      <c r="C653" s="1" t="s">
        <v>21</v>
      </c>
      <c r="D653" s="1" t="s">
        <v>38</v>
      </c>
      <c r="E653" s="1" t="s">
        <v>96</v>
      </c>
      <c r="F653" s="1" t="s">
        <v>103</v>
      </c>
      <c r="G653" s="1" t="s">
        <v>114</v>
      </c>
      <c r="H653" s="1" t="s">
        <v>569</v>
      </c>
      <c r="I653" s="1" t="s">
        <v>331</v>
      </c>
      <c r="J653" s="1" t="s">
        <v>101</v>
      </c>
      <c r="K653" s="1" t="s">
        <v>175</v>
      </c>
      <c r="L653" s="1">
        <v>3009856</v>
      </c>
      <c r="M653" s="1" t="s">
        <v>857</v>
      </c>
      <c r="N653" s="8">
        <f t="shared" si="226"/>
        <v>45131</v>
      </c>
      <c r="O653" s="8">
        <f>DATE(2025,6,27)</f>
        <v>45835</v>
      </c>
      <c r="P653" s="1">
        <v>1360</v>
      </c>
      <c r="Q653" s="1">
        <v>1200</v>
      </c>
      <c r="R653" s="1">
        <f t="shared" si="207"/>
        <v>1200</v>
      </c>
      <c r="S653" s="1">
        <v>2.5</v>
      </c>
      <c r="U653" s="1">
        <f t="shared" si="208"/>
        <v>705</v>
      </c>
      <c r="V653" s="7">
        <f t="shared" si="209"/>
        <v>1.7021276595744681</v>
      </c>
      <c r="W653" s="7">
        <f t="shared" si="210"/>
        <v>621.27659574468089</v>
      </c>
      <c r="X653" s="7">
        <f t="shared" si="211"/>
        <v>0.77659574468085113</v>
      </c>
      <c r="AA653" s="8">
        <f t="shared" si="212"/>
        <v>44927</v>
      </c>
      <c r="AB653" s="8">
        <f t="shared" si="213"/>
        <v>45291</v>
      </c>
      <c r="AC653" s="1">
        <v>19</v>
      </c>
      <c r="AD653" s="1">
        <f t="shared" si="214"/>
        <v>0</v>
      </c>
      <c r="AE653" s="1">
        <f t="shared" si="215"/>
        <v>161</v>
      </c>
      <c r="AF653" s="1">
        <f t="shared" si="216"/>
        <v>0</v>
      </c>
      <c r="AG653" s="1">
        <f t="shared" si="217"/>
        <v>0</v>
      </c>
      <c r="AH653" s="1">
        <f t="shared" si="218"/>
        <v>0</v>
      </c>
      <c r="AI653" s="5">
        <f t="shared" si="219"/>
        <v>0.44109589041095892</v>
      </c>
      <c r="AJ653" s="5">
        <f t="shared" si="220"/>
        <v>0.34255319148936175</v>
      </c>
      <c r="AK653" s="5">
        <f t="shared" si="221"/>
        <v>6.5085106382978735</v>
      </c>
      <c r="AL653" s="5">
        <f t="shared" si="222"/>
        <v>16.271276595744684</v>
      </c>
      <c r="AM653" s="5">
        <f t="shared" si="223"/>
        <v>0</v>
      </c>
      <c r="AN653" s="5">
        <f t="shared" si="224"/>
        <v>16.271276595744684</v>
      </c>
      <c r="AO653" s="1" t="s">
        <v>102</v>
      </c>
    </row>
    <row r="654" spans="1:41" x14ac:dyDescent="0.25">
      <c r="A654" s="1" t="s">
        <v>19</v>
      </c>
      <c r="B654" s="1" t="s">
        <v>37</v>
      </c>
      <c r="C654" s="1" t="s">
        <v>21</v>
      </c>
      <c r="D654" s="1" t="s">
        <v>38</v>
      </c>
      <c r="E654" s="1" t="s">
        <v>96</v>
      </c>
      <c r="F654" s="1" t="s">
        <v>103</v>
      </c>
      <c r="G654" s="1" t="s">
        <v>114</v>
      </c>
      <c r="H654" s="1" t="s">
        <v>592</v>
      </c>
      <c r="I654" s="1" t="s">
        <v>210</v>
      </c>
      <c r="J654" s="1" t="s">
        <v>101</v>
      </c>
      <c r="K654" s="1" t="s">
        <v>175</v>
      </c>
      <c r="L654" s="1">
        <v>3009860</v>
      </c>
      <c r="M654" s="1" t="s">
        <v>858</v>
      </c>
      <c r="N654" s="8">
        <f t="shared" si="226"/>
        <v>45131</v>
      </c>
      <c r="O654" s="8">
        <f>DATE(2025,6,27)</f>
        <v>45835</v>
      </c>
      <c r="P654" s="1">
        <v>1347</v>
      </c>
      <c r="Q654" s="1">
        <v>1200</v>
      </c>
      <c r="R654" s="1">
        <f t="shared" si="207"/>
        <v>1200</v>
      </c>
      <c r="S654" s="1">
        <v>2.5</v>
      </c>
      <c r="U654" s="1">
        <f t="shared" si="208"/>
        <v>705</v>
      </c>
      <c r="V654" s="7">
        <f t="shared" si="209"/>
        <v>1.7021276595744681</v>
      </c>
      <c r="W654" s="7">
        <f t="shared" si="210"/>
        <v>621.27659574468089</v>
      </c>
      <c r="X654" s="7">
        <f t="shared" si="211"/>
        <v>0.77659574468085113</v>
      </c>
      <c r="AA654" s="8">
        <f t="shared" si="212"/>
        <v>44927</v>
      </c>
      <c r="AB654" s="8">
        <f t="shared" si="213"/>
        <v>45291</v>
      </c>
      <c r="AC654" s="1">
        <v>23</v>
      </c>
      <c r="AD654" s="1">
        <f t="shared" si="214"/>
        <v>0</v>
      </c>
      <c r="AE654" s="1">
        <f t="shared" si="215"/>
        <v>161</v>
      </c>
      <c r="AF654" s="1">
        <f t="shared" si="216"/>
        <v>0</v>
      </c>
      <c r="AG654" s="1">
        <f t="shared" si="217"/>
        <v>0</v>
      </c>
      <c r="AH654" s="1">
        <f t="shared" si="218"/>
        <v>0</v>
      </c>
      <c r="AI654" s="5">
        <f t="shared" si="219"/>
        <v>0.44109589041095892</v>
      </c>
      <c r="AJ654" s="5">
        <f t="shared" si="220"/>
        <v>0.34255319148936175</v>
      </c>
      <c r="AK654" s="5">
        <f t="shared" si="221"/>
        <v>7.8787234042553207</v>
      </c>
      <c r="AL654" s="5">
        <f t="shared" si="222"/>
        <v>19.696808510638302</v>
      </c>
      <c r="AM654" s="5">
        <f t="shared" si="223"/>
        <v>0</v>
      </c>
      <c r="AN654" s="5">
        <f t="shared" si="224"/>
        <v>19.696808510638302</v>
      </c>
      <c r="AO654" s="1" t="s">
        <v>102</v>
      </c>
    </row>
    <row r="655" spans="1:41" x14ac:dyDescent="0.25">
      <c r="A655" s="1" t="s">
        <v>19</v>
      </c>
      <c r="B655" s="1" t="s">
        <v>37</v>
      </c>
      <c r="C655" s="1" t="s">
        <v>21</v>
      </c>
      <c r="D655" s="1" t="s">
        <v>38</v>
      </c>
      <c r="E655" s="1" t="s">
        <v>96</v>
      </c>
      <c r="F655" s="1" t="s">
        <v>103</v>
      </c>
      <c r="G655" s="1" t="s">
        <v>114</v>
      </c>
      <c r="H655" s="1" t="s">
        <v>590</v>
      </c>
      <c r="I655" s="1" t="s">
        <v>210</v>
      </c>
      <c r="J655" s="1" t="s">
        <v>101</v>
      </c>
      <c r="K655" s="1" t="s">
        <v>175</v>
      </c>
      <c r="L655" s="1">
        <v>3009867</v>
      </c>
      <c r="M655" s="1" t="s">
        <v>859</v>
      </c>
      <c r="N655" s="8">
        <f t="shared" si="226"/>
        <v>45131</v>
      </c>
      <c r="O655" s="8">
        <f>DATE(2025,6,27)</f>
        <v>45835</v>
      </c>
      <c r="P655" s="1">
        <v>1343</v>
      </c>
      <c r="Q655" s="1">
        <v>1200</v>
      </c>
      <c r="R655" s="1">
        <f t="shared" si="207"/>
        <v>1200</v>
      </c>
      <c r="S655" s="1">
        <v>2.5</v>
      </c>
      <c r="U655" s="1">
        <f t="shared" si="208"/>
        <v>705</v>
      </c>
      <c r="V655" s="7">
        <f t="shared" si="209"/>
        <v>1.7021276595744681</v>
      </c>
      <c r="W655" s="7">
        <f t="shared" si="210"/>
        <v>621.27659574468089</v>
      </c>
      <c r="X655" s="7">
        <f t="shared" si="211"/>
        <v>0.77659574468085113</v>
      </c>
      <c r="AA655" s="8">
        <f t="shared" si="212"/>
        <v>44927</v>
      </c>
      <c r="AB655" s="8">
        <f t="shared" si="213"/>
        <v>45291</v>
      </c>
      <c r="AC655" s="1">
        <v>18</v>
      </c>
      <c r="AD655" s="1">
        <f t="shared" si="214"/>
        <v>0</v>
      </c>
      <c r="AE655" s="1">
        <f t="shared" si="215"/>
        <v>161</v>
      </c>
      <c r="AF655" s="1">
        <f t="shared" si="216"/>
        <v>0</v>
      </c>
      <c r="AG655" s="1">
        <f t="shared" si="217"/>
        <v>0</v>
      </c>
      <c r="AH655" s="1">
        <f t="shared" si="218"/>
        <v>0</v>
      </c>
      <c r="AI655" s="5">
        <f t="shared" si="219"/>
        <v>0.44109589041095892</v>
      </c>
      <c r="AJ655" s="5">
        <f t="shared" si="220"/>
        <v>0.34255319148936175</v>
      </c>
      <c r="AK655" s="5">
        <f t="shared" si="221"/>
        <v>6.1659574468085117</v>
      </c>
      <c r="AL655" s="5">
        <f t="shared" si="222"/>
        <v>15.41489361702128</v>
      </c>
      <c r="AM655" s="5">
        <f t="shared" si="223"/>
        <v>0</v>
      </c>
      <c r="AN655" s="5">
        <f t="shared" si="224"/>
        <v>15.41489361702128</v>
      </c>
      <c r="AO655" s="1" t="s">
        <v>102</v>
      </c>
    </row>
    <row r="656" spans="1:41" x14ac:dyDescent="0.25">
      <c r="A656" s="1" t="s">
        <v>19</v>
      </c>
      <c r="B656" s="1" t="s">
        <v>37</v>
      </c>
      <c r="C656" s="1" t="s">
        <v>21</v>
      </c>
      <c r="D656" s="1" t="s">
        <v>38</v>
      </c>
      <c r="E656" s="1" t="s">
        <v>96</v>
      </c>
      <c r="F656" s="1" t="s">
        <v>103</v>
      </c>
      <c r="G656" s="1" t="s">
        <v>98</v>
      </c>
      <c r="H656" s="1" t="s">
        <v>860</v>
      </c>
      <c r="I656" s="1" t="s">
        <v>331</v>
      </c>
      <c r="J656" s="1" t="s">
        <v>101</v>
      </c>
      <c r="L656" s="1">
        <v>3009970</v>
      </c>
      <c r="M656" s="1" t="s">
        <v>861</v>
      </c>
      <c r="N656" s="8">
        <f t="shared" si="226"/>
        <v>45131</v>
      </c>
      <c r="O656" s="8">
        <f>DATE(2028,7,14)</f>
        <v>46948</v>
      </c>
      <c r="P656" s="1">
        <v>3620</v>
      </c>
      <c r="Q656" s="1">
        <v>3600</v>
      </c>
      <c r="R656" s="1">
        <f t="shared" si="207"/>
        <v>3600</v>
      </c>
      <c r="S656" s="1">
        <v>2.5</v>
      </c>
      <c r="U656" s="1">
        <f t="shared" si="208"/>
        <v>1818</v>
      </c>
      <c r="V656" s="7">
        <f t="shared" si="209"/>
        <v>1.9801980198019802</v>
      </c>
      <c r="W656" s="7">
        <f t="shared" si="210"/>
        <v>722.77227722772273</v>
      </c>
      <c r="X656" s="7">
        <f t="shared" si="211"/>
        <v>0.90346534653465338</v>
      </c>
      <c r="AA656" s="8">
        <f t="shared" si="212"/>
        <v>44927</v>
      </c>
      <c r="AB656" s="8">
        <f t="shared" si="213"/>
        <v>45291</v>
      </c>
      <c r="AC656" s="1">
        <v>36</v>
      </c>
      <c r="AD656" s="1">
        <f t="shared" si="214"/>
        <v>0</v>
      </c>
      <c r="AE656" s="1">
        <f t="shared" si="215"/>
        <v>161</v>
      </c>
      <c r="AF656" s="1">
        <f t="shared" si="216"/>
        <v>0</v>
      </c>
      <c r="AG656" s="1">
        <f t="shared" si="217"/>
        <v>0</v>
      </c>
      <c r="AH656" s="1">
        <f t="shared" si="218"/>
        <v>0</v>
      </c>
      <c r="AI656" s="5">
        <f t="shared" si="219"/>
        <v>0.44109589041095892</v>
      </c>
      <c r="AJ656" s="5">
        <f t="shared" si="220"/>
        <v>0.39851485148514848</v>
      </c>
      <c r="AK656" s="5">
        <f t="shared" si="221"/>
        <v>14.346534653465346</v>
      </c>
      <c r="AL656" s="5">
        <f t="shared" si="222"/>
        <v>35.866336633663366</v>
      </c>
      <c r="AM656" s="5">
        <f t="shared" si="223"/>
        <v>0</v>
      </c>
      <c r="AN656" s="5">
        <f t="shared" si="224"/>
        <v>35.866336633663366</v>
      </c>
      <c r="AO656" s="1" t="s">
        <v>102</v>
      </c>
    </row>
    <row r="657" spans="1:41" x14ac:dyDescent="0.25">
      <c r="A657" s="1" t="s">
        <v>19</v>
      </c>
      <c r="B657" s="1" t="s">
        <v>37</v>
      </c>
      <c r="C657" s="1" t="s">
        <v>21</v>
      </c>
      <c r="D657" s="1" t="s">
        <v>38</v>
      </c>
      <c r="E657" s="1" t="s">
        <v>96</v>
      </c>
      <c r="F657" s="1" t="s">
        <v>103</v>
      </c>
      <c r="G657" s="1" t="s">
        <v>98</v>
      </c>
      <c r="H657" s="1" t="s">
        <v>537</v>
      </c>
      <c r="I657" s="1" t="s">
        <v>162</v>
      </c>
      <c r="J657" s="1" t="s">
        <v>101</v>
      </c>
      <c r="L657" s="1">
        <v>3009977</v>
      </c>
      <c r="M657" s="1" t="s">
        <v>862</v>
      </c>
      <c r="N657" s="8">
        <f t="shared" si="226"/>
        <v>45131</v>
      </c>
      <c r="O657" s="8">
        <f>DATE(2028,7,14)</f>
        <v>46948</v>
      </c>
      <c r="P657" s="1">
        <v>4085</v>
      </c>
      <c r="Q657" s="1">
        <v>3200</v>
      </c>
      <c r="R657" s="1">
        <f t="shared" si="207"/>
        <v>3200</v>
      </c>
      <c r="S657" s="1">
        <v>2.5</v>
      </c>
      <c r="U657" s="1">
        <f t="shared" si="208"/>
        <v>1818</v>
      </c>
      <c r="V657" s="7">
        <f t="shared" si="209"/>
        <v>1.7601760176017602</v>
      </c>
      <c r="W657" s="7">
        <f t="shared" si="210"/>
        <v>642.46424642464251</v>
      </c>
      <c r="X657" s="7">
        <f t="shared" si="211"/>
        <v>0.8030803080308031</v>
      </c>
      <c r="AA657" s="8">
        <f t="shared" si="212"/>
        <v>44927</v>
      </c>
      <c r="AB657" s="8">
        <f t="shared" si="213"/>
        <v>45291</v>
      </c>
      <c r="AC657" s="1">
        <v>36</v>
      </c>
      <c r="AD657" s="1">
        <f t="shared" si="214"/>
        <v>0</v>
      </c>
      <c r="AE657" s="1">
        <f t="shared" si="215"/>
        <v>161</v>
      </c>
      <c r="AF657" s="1">
        <f t="shared" si="216"/>
        <v>0</v>
      </c>
      <c r="AG657" s="1">
        <f t="shared" si="217"/>
        <v>0</v>
      </c>
      <c r="AH657" s="1">
        <f t="shared" si="218"/>
        <v>0</v>
      </c>
      <c r="AI657" s="5">
        <f t="shared" si="219"/>
        <v>0.44109589041095892</v>
      </c>
      <c r="AJ657" s="5">
        <f t="shared" si="220"/>
        <v>0.35423542354235427</v>
      </c>
      <c r="AK657" s="5">
        <f t="shared" si="221"/>
        <v>12.752475247524753</v>
      </c>
      <c r="AL657" s="5">
        <f t="shared" si="222"/>
        <v>31.881188118811885</v>
      </c>
      <c r="AM657" s="5">
        <f t="shared" si="223"/>
        <v>0</v>
      </c>
      <c r="AN657" s="5">
        <f t="shared" si="224"/>
        <v>31.881188118811885</v>
      </c>
      <c r="AO657" s="1" t="s">
        <v>102</v>
      </c>
    </row>
    <row r="658" spans="1:41" x14ac:dyDescent="0.25">
      <c r="A658" s="1" t="s">
        <v>19</v>
      </c>
      <c r="B658" s="1" t="s">
        <v>37</v>
      </c>
      <c r="C658" s="1" t="s">
        <v>21</v>
      </c>
      <c r="D658" s="1" t="s">
        <v>38</v>
      </c>
      <c r="E658" s="1" t="s">
        <v>96</v>
      </c>
      <c r="F658" s="1" t="s">
        <v>103</v>
      </c>
      <c r="G658" s="1" t="s">
        <v>98</v>
      </c>
      <c r="H658" s="1" t="s">
        <v>542</v>
      </c>
      <c r="I658" s="1" t="s">
        <v>210</v>
      </c>
      <c r="J658" s="1" t="s">
        <v>101</v>
      </c>
      <c r="L658" s="1">
        <v>3009978</v>
      </c>
      <c r="M658" s="1" t="s">
        <v>863</v>
      </c>
      <c r="N658" s="8">
        <f t="shared" si="226"/>
        <v>45131</v>
      </c>
      <c r="O658" s="8">
        <f>DATE(2028,7,14)</f>
        <v>46948</v>
      </c>
      <c r="P658" s="1">
        <v>4070</v>
      </c>
      <c r="Q658" s="1">
        <v>3600</v>
      </c>
      <c r="R658" s="1">
        <f t="shared" si="207"/>
        <v>3600</v>
      </c>
      <c r="S658" s="1">
        <v>2.5</v>
      </c>
      <c r="U658" s="1">
        <f t="shared" si="208"/>
        <v>1818</v>
      </c>
      <c r="V658" s="7">
        <f t="shared" si="209"/>
        <v>1.9801980198019802</v>
      </c>
      <c r="W658" s="7">
        <f t="shared" si="210"/>
        <v>722.77227722772273</v>
      </c>
      <c r="X658" s="7">
        <f t="shared" si="211"/>
        <v>0.90346534653465338</v>
      </c>
      <c r="AA658" s="8">
        <f t="shared" si="212"/>
        <v>44927</v>
      </c>
      <c r="AB658" s="8">
        <f t="shared" si="213"/>
        <v>45291</v>
      </c>
      <c r="AC658" s="1">
        <v>19</v>
      </c>
      <c r="AD658" s="1">
        <f t="shared" si="214"/>
        <v>0</v>
      </c>
      <c r="AE658" s="1">
        <f t="shared" si="215"/>
        <v>161</v>
      </c>
      <c r="AF658" s="1">
        <f t="shared" si="216"/>
        <v>0</v>
      </c>
      <c r="AG658" s="1">
        <f t="shared" si="217"/>
        <v>0</v>
      </c>
      <c r="AH658" s="1">
        <f t="shared" si="218"/>
        <v>0</v>
      </c>
      <c r="AI658" s="5">
        <f t="shared" si="219"/>
        <v>0.44109589041095892</v>
      </c>
      <c r="AJ658" s="5">
        <f t="shared" si="220"/>
        <v>0.39851485148514848</v>
      </c>
      <c r="AK658" s="5">
        <f t="shared" si="221"/>
        <v>7.5717821782178207</v>
      </c>
      <c r="AL658" s="5">
        <f t="shared" si="222"/>
        <v>18.929455445544551</v>
      </c>
      <c r="AM658" s="5">
        <f t="shared" si="223"/>
        <v>0</v>
      </c>
      <c r="AN658" s="5">
        <f t="shared" si="224"/>
        <v>18.929455445544551</v>
      </c>
      <c r="AO658" s="1" t="s">
        <v>102</v>
      </c>
    </row>
    <row r="659" spans="1:41" x14ac:dyDescent="0.25">
      <c r="A659" s="1" t="s">
        <v>19</v>
      </c>
      <c r="B659" s="1" t="s">
        <v>37</v>
      </c>
      <c r="C659" s="1" t="s">
        <v>21</v>
      </c>
      <c r="D659" s="1" t="s">
        <v>38</v>
      </c>
      <c r="E659" s="1" t="s">
        <v>96</v>
      </c>
      <c r="F659" s="1" t="s">
        <v>103</v>
      </c>
      <c r="G659" s="1" t="s">
        <v>98</v>
      </c>
      <c r="H659" s="1" t="s">
        <v>725</v>
      </c>
      <c r="I659" s="1" t="s">
        <v>210</v>
      </c>
      <c r="J659" s="1" t="s">
        <v>101</v>
      </c>
      <c r="L659" s="1">
        <v>3009982</v>
      </c>
      <c r="M659" s="1" t="s">
        <v>864</v>
      </c>
      <c r="N659" s="8">
        <f t="shared" si="226"/>
        <v>45131</v>
      </c>
      <c r="O659" s="8">
        <f>DATE(2028,7,14)</f>
        <v>46948</v>
      </c>
      <c r="P659" s="1">
        <v>3662</v>
      </c>
      <c r="Q659" s="1">
        <v>3600</v>
      </c>
      <c r="R659" s="1">
        <f t="shared" si="207"/>
        <v>3600</v>
      </c>
      <c r="S659" s="1">
        <v>2.5</v>
      </c>
      <c r="U659" s="1">
        <f t="shared" si="208"/>
        <v>1818</v>
      </c>
      <c r="V659" s="7">
        <f t="shared" si="209"/>
        <v>1.9801980198019802</v>
      </c>
      <c r="W659" s="7">
        <f t="shared" si="210"/>
        <v>722.77227722772273</v>
      </c>
      <c r="X659" s="7">
        <f t="shared" si="211"/>
        <v>0.90346534653465338</v>
      </c>
      <c r="AA659" s="8">
        <f t="shared" si="212"/>
        <v>44927</v>
      </c>
      <c r="AB659" s="8">
        <f t="shared" si="213"/>
        <v>45291</v>
      </c>
      <c r="AC659" s="1">
        <v>32</v>
      </c>
      <c r="AD659" s="1">
        <f t="shared" si="214"/>
        <v>0</v>
      </c>
      <c r="AE659" s="1">
        <f t="shared" si="215"/>
        <v>161</v>
      </c>
      <c r="AF659" s="1">
        <f t="shared" si="216"/>
        <v>0</v>
      </c>
      <c r="AG659" s="1">
        <f t="shared" si="217"/>
        <v>0</v>
      </c>
      <c r="AH659" s="1">
        <f t="shared" si="218"/>
        <v>0</v>
      </c>
      <c r="AI659" s="5">
        <f t="shared" si="219"/>
        <v>0.44109589041095892</v>
      </c>
      <c r="AJ659" s="5">
        <f t="shared" si="220"/>
        <v>0.39851485148514848</v>
      </c>
      <c r="AK659" s="5">
        <f t="shared" si="221"/>
        <v>12.752475247524751</v>
      </c>
      <c r="AL659" s="5">
        <f t="shared" si="222"/>
        <v>31.881188118811878</v>
      </c>
      <c r="AM659" s="5">
        <f t="shared" si="223"/>
        <v>0</v>
      </c>
      <c r="AN659" s="5">
        <f t="shared" si="224"/>
        <v>31.881188118811878</v>
      </c>
      <c r="AO659" s="1" t="s">
        <v>102</v>
      </c>
    </row>
    <row r="660" spans="1:41" x14ac:dyDescent="0.25">
      <c r="A660" s="1" t="s">
        <v>19</v>
      </c>
      <c r="B660" s="1" t="s">
        <v>37</v>
      </c>
      <c r="C660" s="1" t="s">
        <v>21</v>
      </c>
      <c r="D660" s="1" t="s">
        <v>38</v>
      </c>
      <c r="E660" s="1" t="s">
        <v>96</v>
      </c>
      <c r="F660" s="1" t="s">
        <v>103</v>
      </c>
      <c r="G660" s="1" t="s">
        <v>98</v>
      </c>
      <c r="H660" s="1" t="s">
        <v>523</v>
      </c>
      <c r="I660" s="1" t="s">
        <v>100</v>
      </c>
      <c r="J660" s="1" t="s">
        <v>101</v>
      </c>
      <c r="L660" s="1">
        <v>3009983</v>
      </c>
      <c r="M660" s="1" t="s">
        <v>865</v>
      </c>
      <c r="N660" s="8">
        <f t="shared" si="226"/>
        <v>45131</v>
      </c>
      <c r="O660" s="8">
        <f>DATE(2026,7,17)</f>
        <v>46220</v>
      </c>
      <c r="P660" s="1">
        <v>2802</v>
      </c>
      <c r="Q660" s="1">
        <v>2400</v>
      </c>
      <c r="R660" s="1">
        <f t="shared" si="207"/>
        <v>2400</v>
      </c>
      <c r="S660" s="1">
        <v>1</v>
      </c>
      <c r="U660" s="1">
        <f t="shared" si="208"/>
        <v>1090</v>
      </c>
      <c r="V660" s="7">
        <f t="shared" si="209"/>
        <v>2.2018348623853212</v>
      </c>
      <c r="W660" s="7">
        <f t="shared" si="210"/>
        <v>803.66972477064223</v>
      </c>
      <c r="X660" s="7">
        <f t="shared" si="211"/>
        <v>1.0045871559633028</v>
      </c>
      <c r="AA660" s="8">
        <f t="shared" si="212"/>
        <v>44927</v>
      </c>
      <c r="AB660" s="8">
        <f t="shared" si="213"/>
        <v>45291</v>
      </c>
      <c r="AC660" s="1">
        <v>29</v>
      </c>
      <c r="AD660" s="1">
        <f t="shared" si="214"/>
        <v>0</v>
      </c>
      <c r="AE660" s="1">
        <f t="shared" si="215"/>
        <v>161</v>
      </c>
      <c r="AF660" s="1">
        <f t="shared" si="216"/>
        <v>0</v>
      </c>
      <c r="AG660" s="1">
        <f t="shared" si="217"/>
        <v>0</v>
      </c>
      <c r="AH660" s="1">
        <f t="shared" si="218"/>
        <v>0</v>
      </c>
      <c r="AI660" s="5">
        <f t="shared" si="219"/>
        <v>0.44109589041095892</v>
      </c>
      <c r="AJ660" s="5">
        <f t="shared" si="220"/>
        <v>0.44311926605504592</v>
      </c>
      <c r="AK660" s="5">
        <f t="shared" si="221"/>
        <v>12.850458715596332</v>
      </c>
      <c r="AL660" s="5">
        <f t="shared" si="222"/>
        <v>12.850458715596332</v>
      </c>
      <c r="AM660" s="5">
        <f t="shared" si="223"/>
        <v>0</v>
      </c>
      <c r="AN660" s="5">
        <f t="shared" si="224"/>
        <v>12.850458715596332</v>
      </c>
      <c r="AO660" s="1" t="s">
        <v>102</v>
      </c>
    </row>
    <row r="661" spans="1:41" x14ac:dyDescent="0.25">
      <c r="A661" s="1" t="s">
        <v>19</v>
      </c>
      <c r="B661" s="1" t="s">
        <v>37</v>
      </c>
      <c r="C661" s="1" t="s">
        <v>21</v>
      </c>
      <c r="D661" s="1" t="s">
        <v>38</v>
      </c>
      <c r="E661" s="1" t="s">
        <v>96</v>
      </c>
      <c r="F661" s="1" t="s">
        <v>103</v>
      </c>
      <c r="G661" s="1" t="s">
        <v>98</v>
      </c>
      <c r="H661" s="1" t="s">
        <v>566</v>
      </c>
      <c r="I661" s="1" t="s">
        <v>336</v>
      </c>
      <c r="J661" s="1" t="s">
        <v>101</v>
      </c>
      <c r="L661" s="1">
        <v>3009987</v>
      </c>
      <c r="M661" s="1" t="s">
        <v>866</v>
      </c>
      <c r="N661" s="8">
        <f t="shared" si="226"/>
        <v>45131</v>
      </c>
      <c r="O661" s="8">
        <f>DATE(2026,7,17)</f>
        <v>46220</v>
      </c>
      <c r="P661" s="1">
        <v>2600</v>
      </c>
      <c r="Q661" s="1">
        <v>2400</v>
      </c>
      <c r="R661" s="1">
        <f t="shared" si="207"/>
        <v>2400</v>
      </c>
      <c r="S661" s="1">
        <v>1</v>
      </c>
      <c r="U661" s="1">
        <f t="shared" si="208"/>
        <v>1090</v>
      </c>
      <c r="V661" s="7">
        <f t="shared" si="209"/>
        <v>2.2018348623853212</v>
      </c>
      <c r="W661" s="7">
        <f t="shared" si="210"/>
        <v>803.66972477064223</v>
      </c>
      <c r="X661" s="7">
        <f t="shared" si="211"/>
        <v>1.0045871559633028</v>
      </c>
      <c r="AA661" s="8">
        <f t="shared" si="212"/>
        <v>44927</v>
      </c>
      <c r="AB661" s="8">
        <f t="shared" si="213"/>
        <v>45291</v>
      </c>
      <c r="AC661" s="1">
        <v>23</v>
      </c>
      <c r="AD661" s="1">
        <f t="shared" si="214"/>
        <v>0</v>
      </c>
      <c r="AE661" s="1">
        <f t="shared" si="215"/>
        <v>161</v>
      </c>
      <c r="AF661" s="1">
        <f t="shared" si="216"/>
        <v>0</v>
      </c>
      <c r="AG661" s="1">
        <f t="shared" si="217"/>
        <v>0</v>
      </c>
      <c r="AH661" s="1">
        <f t="shared" si="218"/>
        <v>0</v>
      </c>
      <c r="AI661" s="5">
        <f t="shared" si="219"/>
        <v>0.44109589041095892</v>
      </c>
      <c r="AJ661" s="5">
        <f t="shared" si="220"/>
        <v>0.44311926605504592</v>
      </c>
      <c r="AK661" s="5">
        <f t="shared" si="221"/>
        <v>10.191743119266055</v>
      </c>
      <c r="AL661" s="5">
        <f t="shared" si="222"/>
        <v>10.191743119266055</v>
      </c>
      <c r="AM661" s="5">
        <f t="shared" si="223"/>
        <v>0</v>
      </c>
      <c r="AN661" s="5">
        <f t="shared" si="224"/>
        <v>10.191743119266055</v>
      </c>
      <c r="AO661" s="1" t="s">
        <v>102</v>
      </c>
    </row>
    <row r="662" spans="1:41" x14ac:dyDescent="0.25">
      <c r="A662" s="1" t="s">
        <v>19</v>
      </c>
      <c r="B662" s="1" t="s">
        <v>37</v>
      </c>
      <c r="C662" s="1" t="s">
        <v>21</v>
      </c>
      <c r="D662" s="1" t="s">
        <v>38</v>
      </c>
      <c r="E662" s="1" t="s">
        <v>96</v>
      </c>
      <c r="F662" s="1" t="s">
        <v>103</v>
      </c>
      <c r="G662" s="1" t="s">
        <v>127</v>
      </c>
      <c r="H662" s="1" t="s">
        <v>555</v>
      </c>
      <c r="I662" s="1" t="s">
        <v>331</v>
      </c>
      <c r="J662" s="1" t="s">
        <v>101</v>
      </c>
      <c r="L662" s="1">
        <v>3009990</v>
      </c>
      <c r="M662" s="1" t="s">
        <v>867</v>
      </c>
      <c r="N662" s="8">
        <f t="shared" si="226"/>
        <v>45131</v>
      </c>
      <c r="O662" s="8">
        <f>DATE(2026,12,23)</f>
        <v>46379</v>
      </c>
      <c r="P662" s="1">
        <v>2596</v>
      </c>
      <c r="Q662" s="1">
        <v>2400</v>
      </c>
      <c r="R662" s="1">
        <f t="shared" si="207"/>
        <v>2400</v>
      </c>
      <c r="S662" s="1">
        <v>2.5</v>
      </c>
      <c r="U662" s="1">
        <f t="shared" si="208"/>
        <v>1249</v>
      </c>
      <c r="V662" s="7">
        <f t="shared" si="209"/>
        <v>1.9215372297838271</v>
      </c>
      <c r="W662" s="7">
        <f t="shared" si="210"/>
        <v>701.36108887109685</v>
      </c>
      <c r="X662" s="7">
        <f t="shared" si="211"/>
        <v>0.87670136108887109</v>
      </c>
      <c r="AA662" s="8">
        <f t="shared" si="212"/>
        <v>44927</v>
      </c>
      <c r="AB662" s="8">
        <f t="shared" si="213"/>
        <v>45291</v>
      </c>
      <c r="AC662" s="1">
        <v>15</v>
      </c>
      <c r="AD662" s="1">
        <f t="shared" si="214"/>
        <v>0</v>
      </c>
      <c r="AE662" s="1">
        <f t="shared" si="215"/>
        <v>161</v>
      </c>
      <c r="AF662" s="1">
        <f t="shared" si="216"/>
        <v>0</v>
      </c>
      <c r="AG662" s="1">
        <f t="shared" si="217"/>
        <v>0</v>
      </c>
      <c r="AH662" s="1">
        <f t="shared" si="218"/>
        <v>0</v>
      </c>
      <c r="AI662" s="5">
        <f t="shared" si="219"/>
        <v>0.44109589041095892</v>
      </c>
      <c r="AJ662" s="5">
        <f t="shared" si="220"/>
        <v>0.3867093674939952</v>
      </c>
      <c r="AK662" s="5">
        <f t="shared" si="221"/>
        <v>5.8006405124099283</v>
      </c>
      <c r="AL662" s="5">
        <f t="shared" si="222"/>
        <v>14.50160128102482</v>
      </c>
      <c r="AM662" s="5">
        <f t="shared" si="223"/>
        <v>0</v>
      </c>
      <c r="AN662" s="5">
        <f t="shared" si="224"/>
        <v>14.50160128102482</v>
      </c>
      <c r="AO662" s="1" t="s">
        <v>102</v>
      </c>
    </row>
    <row r="663" spans="1:41" x14ac:dyDescent="0.25">
      <c r="A663" s="1" t="s">
        <v>19</v>
      </c>
      <c r="B663" s="1" t="s">
        <v>37</v>
      </c>
      <c r="C663" s="1" t="s">
        <v>21</v>
      </c>
      <c r="D663" s="1" t="s">
        <v>38</v>
      </c>
      <c r="E663" s="1" t="s">
        <v>96</v>
      </c>
      <c r="F663" s="1" t="s">
        <v>103</v>
      </c>
      <c r="G663" s="1" t="s">
        <v>127</v>
      </c>
      <c r="H663" s="1" t="s">
        <v>562</v>
      </c>
      <c r="I663" s="1" t="s">
        <v>331</v>
      </c>
      <c r="J663" s="1" t="s">
        <v>101</v>
      </c>
      <c r="L663" s="1">
        <v>3009991</v>
      </c>
      <c r="M663" s="1" t="s">
        <v>868</v>
      </c>
      <c r="N663" s="8">
        <f t="shared" si="226"/>
        <v>45131</v>
      </c>
      <c r="O663" s="8">
        <f>DATE(2026,7,17)</f>
        <v>46220</v>
      </c>
      <c r="P663" s="1">
        <v>2548</v>
      </c>
      <c r="Q663" s="1">
        <v>2400</v>
      </c>
      <c r="R663" s="1">
        <f t="shared" si="207"/>
        <v>2400</v>
      </c>
      <c r="S663" s="1">
        <v>2.5</v>
      </c>
      <c r="U663" s="1">
        <f t="shared" si="208"/>
        <v>1090</v>
      </c>
      <c r="V663" s="7">
        <f t="shared" si="209"/>
        <v>2.2018348623853212</v>
      </c>
      <c r="W663" s="7">
        <f t="shared" si="210"/>
        <v>803.66972477064223</v>
      </c>
      <c r="X663" s="7">
        <f t="shared" si="211"/>
        <v>1.0045871559633028</v>
      </c>
      <c r="AA663" s="8">
        <f t="shared" si="212"/>
        <v>44927</v>
      </c>
      <c r="AB663" s="8">
        <f t="shared" si="213"/>
        <v>45291</v>
      </c>
      <c r="AC663" s="1">
        <v>20</v>
      </c>
      <c r="AD663" s="1">
        <f t="shared" si="214"/>
        <v>0</v>
      </c>
      <c r="AE663" s="1">
        <f t="shared" si="215"/>
        <v>161</v>
      </c>
      <c r="AF663" s="1">
        <f t="shared" si="216"/>
        <v>0</v>
      </c>
      <c r="AG663" s="1">
        <f t="shared" si="217"/>
        <v>0</v>
      </c>
      <c r="AH663" s="1">
        <f t="shared" si="218"/>
        <v>0</v>
      </c>
      <c r="AI663" s="5">
        <f t="shared" si="219"/>
        <v>0.44109589041095892</v>
      </c>
      <c r="AJ663" s="5">
        <f t="shared" si="220"/>
        <v>0.44311926605504592</v>
      </c>
      <c r="AK663" s="5">
        <f t="shared" si="221"/>
        <v>8.862385321100918</v>
      </c>
      <c r="AL663" s="5">
        <f t="shared" si="222"/>
        <v>22.155963302752294</v>
      </c>
      <c r="AM663" s="5">
        <f t="shared" si="223"/>
        <v>0</v>
      </c>
      <c r="AN663" s="5">
        <f t="shared" si="224"/>
        <v>22.155963302752294</v>
      </c>
      <c r="AO663" s="1" t="s">
        <v>102</v>
      </c>
    </row>
    <row r="664" spans="1:41" x14ac:dyDescent="0.25">
      <c r="A664" s="1" t="s">
        <v>19</v>
      </c>
      <c r="B664" s="1" t="s">
        <v>37</v>
      </c>
      <c r="C664" s="1" t="s">
        <v>21</v>
      </c>
      <c r="D664" s="1" t="s">
        <v>38</v>
      </c>
      <c r="E664" s="1" t="s">
        <v>96</v>
      </c>
      <c r="F664" s="1" t="s">
        <v>103</v>
      </c>
      <c r="G664" s="1" t="s">
        <v>127</v>
      </c>
      <c r="H664" s="1" t="s">
        <v>518</v>
      </c>
      <c r="I664" s="1" t="s">
        <v>162</v>
      </c>
      <c r="J664" s="1" t="s">
        <v>101</v>
      </c>
      <c r="L664" s="1">
        <v>3009992</v>
      </c>
      <c r="M664" s="1" t="s">
        <v>869</v>
      </c>
      <c r="N664" s="8">
        <f t="shared" si="226"/>
        <v>45131</v>
      </c>
      <c r="O664" s="8">
        <f>DATE(2026,7,17)</f>
        <v>46220</v>
      </c>
      <c r="P664" s="1">
        <v>2130</v>
      </c>
      <c r="Q664" s="1">
        <v>2000</v>
      </c>
      <c r="R664" s="1">
        <f t="shared" si="207"/>
        <v>2000</v>
      </c>
      <c r="S664" s="1">
        <v>1.5</v>
      </c>
      <c r="U664" s="1">
        <f t="shared" si="208"/>
        <v>1090</v>
      </c>
      <c r="V664" s="7">
        <f t="shared" si="209"/>
        <v>1.834862385321101</v>
      </c>
      <c r="W664" s="7">
        <f t="shared" si="210"/>
        <v>669.72477064220186</v>
      </c>
      <c r="X664" s="7">
        <f t="shared" si="211"/>
        <v>0.83715596330275233</v>
      </c>
      <c r="AA664" s="8">
        <f t="shared" si="212"/>
        <v>44927</v>
      </c>
      <c r="AB664" s="8">
        <f t="shared" si="213"/>
        <v>45291</v>
      </c>
      <c r="AC664" s="1">
        <v>24</v>
      </c>
      <c r="AD664" s="1">
        <f t="shared" si="214"/>
        <v>0</v>
      </c>
      <c r="AE664" s="1">
        <f t="shared" si="215"/>
        <v>161</v>
      </c>
      <c r="AF664" s="1">
        <f t="shared" si="216"/>
        <v>0</v>
      </c>
      <c r="AG664" s="1">
        <f t="shared" si="217"/>
        <v>0</v>
      </c>
      <c r="AH664" s="1">
        <f t="shared" si="218"/>
        <v>0</v>
      </c>
      <c r="AI664" s="5">
        <f t="shared" si="219"/>
        <v>0.44109589041095892</v>
      </c>
      <c r="AJ664" s="5">
        <f t="shared" si="220"/>
        <v>0.36926605504587157</v>
      </c>
      <c r="AK664" s="5">
        <f t="shared" si="221"/>
        <v>8.862385321100918</v>
      </c>
      <c r="AL664" s="5">
        <f t="shared" si="222"/>
        <v>13.293577981651378</v>
      </c>
      <c r="AM664" s="5">
        <f t="shared" si="223"/>
        <v>0</v>
      </c>
      <c r="AN664" s="5">
        <f t="shared" si="224"/>
        <v>13.293577981651378</v>
      </c>
      <c r="AO664" s="1" t="s">
        <v>102</v>
      </c>
    </row>
    <row r="665" spans="1:41" x14ac:dyDescent="0.25">
      <c r="A665" s="1" t="s">
        <v>19</v>
      </c>
      <c r="B665" s="1" t="s">
        <v>37</v>
      </c>
      <c r="C665" s="1" t="s">
        <v>21</v>
      </c>
      <c r="D665" s="1" t="s">
        <v>38</v>
      </c>
      <c r="E665" s="1" t="s">
        <v>96</v>
      </c>
      <c r="F665" s="1" t="s">
        <v>103</v>
      </c>
      <c r="G665" s="1" t="s">
        <v>127</v>
      </c>
      <c r="H665" s="1" t="s">
        <v>528</v>
      </c>
      <c r="I665" s="1" t="s">
        <v>162</v>
      </c>
      <c r="J665" s="1" t="s">
        <v>101</v>
      </c>
      <c r="L665" s="1">
        <v>3009995</v>
      </c>
      <c r="M665" s="1" t="s">
        <v>870</v>
      </c>
      <c r="N665" s="8">
        <f t="shared" si="226"/>
        <v>45131</v>
      </c>
      <c r="O665" s="8">
        <f>DATE(2026,7,17)</f>
        <v>46220</v>
      </c>
      <c r="P665" s="1">
        <v>2130</v>
      </c>
      <c r="Q665" s="1">
        <v>2000</v>
      </c>
      <c r="R665" s="1">
        <f t="shared" si="207"/>
        <v>2000</v>
      </c>
      <c r="S665" s="1">
        <v>1</v>
      </c>
      <c r="U665" s="1">
        <f t="shared" si="208"/>
        <v>1090</v>
      </c>
      <c r="V665" s="7">
        <f t="shared" si="209"/>
        <v>1.834862385321101</v>
      </c>
      <c r="W665" s="7">
        <f t="shared" si="210"/>
        <v>669.72477064220186</v>
      </c>
      <c r="X665" s="7">
        <f t="shared" si="211"/>
        <v>0.83715596330275233</v>
      </c>
      <c r="AA665" s="8">
        <f t="shared" si="212"/>
        <v>44927</v>
      </c>
      <c r="AB665" s="8">
        <f t="shared" si="213"/>
        <v>45291</v>
      </c>
      <c r="AC665" s="1">
        <v>19</v>
      </c>
      <c r="AD665" s="1">
        <f t="shared" si="214"/>
        <v>0</v>
      </c>
      <c r="AE665" s="1">
        <f t="shared" si="215"/>
        <v>161</v>
      </c>
      <c r="AF665" s="1">
        <f t="shared" si="216"/>
        <v>0</v>
      </c>
      <c r="AG665" s="1">
        <f t="shared" si="217"/>
        <v>0</v>
      </c>
      <c r="AH665" s="1">
        <f t="shared" si="218"/>
        <v>0</v>
      </c>
      <c r="AI665" s="5">
        <f t="shared" si="219"/>
        <v>0.44109589041095892</v>
      </c>
      <c r="AJ665" s="5">
        <f t="shared" si="220"/>
        <v>0.36926605504587157</v>
      </c>
      <c r="AK665" s="5">
        <f t="shared" si="221"/>
        <v>7.0160550458715596</v>
      </c>
      <c r="AL665" s="5">
        <f t="shared" si="222"/>
        <v>7.0160550458715596</v>
      </c>
      <c r="AM665" s="5">
        <f t="shared" si="223"/>
        <v>0</v>
      </c>
      <c r="AN665" s="5">
        <f t="shared" si="224"/>
        <v>7.0160550458715596</v>
      </c>
      <c r="AO665" s="1" t="s">
        <v>102</v>
      </c>
    </row>
    <row r="666" spans="1:41" x14ac:dyDescent="0.25">
      <c r="A666" s="1" t="s">
        <v>19</v>
      </c>
      <c r="B666" s="1" t="s">
        <v>37</v>
      </c>
      <c r="C666" s="1" t="s">
        <v>21</v>
      </c>
      <c r="D666" s="1" t="s">
        <v>39</v>
      </c>
      <c r="E666" s="1" t="s">
        <v>172</v>
      </c>
      <c r="F666" s="1" t="s">
        <v>534</v>
      </c>
      <c r="G666" s="1" t="s">
        <v>320</v>
      </c>
      <c r="H666" s="1" t="s">
        <v>321</v>
      </c>
      <c r="I666" s="1" t="s">
        <v>174</v>
      </c>
      <c r="J666" s="1" t="s">
        <v>101</v>
      </c>
      <c r="L666" s="1">
        <v>399004</v>
      </c>
      <c r="M666" s="1" t="s">
        <v>871</v>
      </c>
      <c r="N666" s="8">
        <f>DATE(2007,7,16)</f>
        <v>39279</v>
      </c>
      <c r="O666" s="8">
        <f>DATE(2010,6,25)</f>
        <v>40354</v>
      </c>
      <c r="P666" s="1">
        <v>3000</v>
      </c>
      <c r="Q666" s="1">
        <v>3200</v>
      </c>
      <c r="R666" s="1">
        <f t="shared" si="207"/>
        <v>3200</v>
      </c>
      <c r="S666" s="1">
        <v>2.5</v>
      </c>
      <c r="U666" s="1">
        <f t="shared" si="208"/>
        <v>1076</v>
      </c>
      <c r="V666" s="7">
        <f t="shared" si="209"/>
        <v>2.7881040892193307</v>
      </c>
      <c r="W666" s="7">
        <f t="shared" si="210"/>
        <v>1017.6579925650557</v>
      </c>
      <c r="X666" s="7">
        <f t="shared" si="211"/>
        <v>1.2720724907063197</v>
      </c>
      <c r="AA666" s="8">
        <f t="shared" si="212"/>
        <v>44927</v>
      </c>
      <c r="AB666" s="8">
        <f t="shared" si="213"/>
        <v>45291</v>
      </c>
      <c r="AC666" s="1">
        <v>0</v>
      </c>
      <c r="AD666" s="1">
        <f t="shared" si="214"/>
        <v>0</v>
      </c>
      <c r="AE666" s="1">
        <f t="shared" si="215"/>
        <v>0</v>
      </c>
      <c r="AF666" s="1">
        <f t="shared" si="216"/>
        <v>0</v>
      </c>
      <c r="AG666" s="1">
        <f t="shared" si="217"/>
        <v>0</v>
      </c>
      <c r="AH666" s="1">
        <f t="shared" si="218"/>
        <v>182.5</v>
      </c>
      <c r="AI666" s="5">
        <f t="shared" si="219"/>
        <v>0.5</v>
      </c>
      <c r="AJ666" s="5">
        <f t="shared" si="220"/>
        <v>0.63603624535315983</v>
      </c>
      <c r="AK666" s="5">
        <f t="shared" si="221"/>
        <v>0</v>
      </c>
      <c r="AL666" s="5">
        <f t="shared" si="222"/>
        <v>0</v>
      </c>
      <c r="AM666" s="5">
        <f t="shared" si="223"/>
        <v>0</v>
      </c>
      <c r="AN666" s="5">
        <f t="shared" si="224"/>
        <v>0</v>
      </c>
      <c r="AO666" s="1" t="s">
        <v>111</v>
      </c>
    </row>
    <row r="667" spans="1:41" x14ac:dyDescent="0.25">
      <c r="A667" s="1" t="s">
        <v>19</v>
      </c>
      <c r="B667" s="1" t="s">
        <v>37</v>
      </c>
      <c r="C667" s="1" t="s">
        <v>21</v>
      </c>
      <c r="D667" s="1" t="s">
        <v>39</v>
      </c>
      <c r="E667" s="1" t="s">
        <v>96</v>
      </c>
      <c r="F667" s="1" t="s">
        <v>103</v>
      </c>
      <c r="G667" s="1" t="s">
        <v>127</v>
      </c>
      <c r="H667" s="1" t="s">
        <v>872</v>
      </c>
      <c r="I667" s="1" t="s">
        <v>157</v>
      </c>
      <c r="J667" s="1" t="s">
        <v>101</v>
      </c>
      <c r="L667" s="1">
        <v>390278</v>
      </c>
      <c r="M667" s="1" t="s">
        <v>873</v>
      </c>
      <c r="N667" s="8">
        <f>DATE(2010,2,8)</f>
        <v>40217</v>
      </c>
      <c r="O667" s="8">
        <f>DATE(2013,12,20)</f>
        <v>41628</v>
      </c>
      <c r="P667" s="1">
        <v>2159</v>
      </c>
      <c r="Q667" s="1">
        <v>1600</v>
      </c>
      <c r="R667" s="1">
        <f t="shared" si="207"/>
        <v>1600</v>
      </c>
      <c r="S667" s="1">
        <v>1</v>
      </c>
      <c r="U667" s="1">
        <f t="shared" si="208"/>
        <v>1412</v>
      </c>
      <c r="V667" s="7">
        <f t="shared" si="209"/>
        <v>1.1331444759206799</v>
      </c>
      <c r="W667" s="7">
        <f t="shared" si="210"/>
        <v>413.59773371104819</v>
      </c>
      <c r="X667" s="7">
        <f t="shared" si="211"/>
        <v>0.51699716713881028</v>
      </c>
      <c r="AA667" s="8">
        <f t="shared" si="212"/>
        <v>44927</v>
      </c>
      <c r="AB667" s="8">
        <f t="shared" si="213"/>
        <v>45291</v>
      </c>
      <c r="AC667" s="1">
        <v>1</v>
      </c>
      <c r="AD667" s="1">
        <f t="shared" si="214"/>
        <v>0</v>
      </c>
      <c r="AE667" s="1">
        <f t="shared" si="215"/>
        <v>0</v>
      </c>
      <c r="AF667" s="1">
        <f t="shared" si="216"/>
        <v>0</v>
      </c>
      <c r="AG667" s="1">
        <f t="shared" si="217"/>
        <v>0</v>
      </c>
      <c r="AH667" s="1">
        <f t="shared" si="218"/>
        <v>182.5</v>
      </c>
      <c r="AI667" s="5">
        <f t="shared" si="219"/>
        <v>0.5</v>
      </c>
      <c r="AJ667" s="5">
        <f t="shared" si="220"/>
        <v>0.25849858356940514</v>
      </c>
      <c r="AK667" s="5">
        <f t="shared" si="221"/>
        <v>0</v>
      </c>
      <c r="AL667" s="5">
        <f t="shared" si="222"/>
        <v>0</v>
      </c>
      <c r="AM667" s="5">
        <f t="shared" si="223"/>
        <v>0</v>
      </c>
      <c r="AN667" s="5">
        <f t="shared" si="224"/>
        <v>0</v>
      </c>
      <c r="AO667" s="1" t="s">
        <v>102</v>
      </c>
    </row>
    <row r="668" spans="1:41" x14ac:dyDescent="0.25">
      <c r="A668" s="1" t="s">
        <v>19</v>
      </c>
      <c r="B668" s="1" t="s">
        <v>37</v>
      </c>
      <c r="C668" s="1" t="s">
        <v>21</v>
      </c>
      <c r="D668" s="1" t="s">
        <v>39</v>
      </c>
      <c r="E668" s="1" t="s">
        <v>96</v>
      </c>
      <c r="F668" s="1" t="s">
        <v>103</v>
      </c>
      <c r="G668" s="1" t="s">
        <v>114</v>
      </c>
      <c r="H668" s="1" t="s">
        <v>254</v>
      </c>
      <c r="I668" s="1" t="s">
        <v>255</v>
      </c>
      <c r="J668" s="1" t="s">
        <v>101</v>
      </c>
      <c r="K668" s="1" t="s">
        <v>175</v>
      </c>
      <c r="L668" s="1">
        <v>800850</v>
      </c>
      <c r="M668" s="1" t="s">
        <v>874</v>
      </c>
      <c r="N668" s="8">
        <f>DATE(2011,2,7)</f>
        <v>40581</v>
      </c>
      <c r="O668" s="8">
        <f>DATE(2012,12,21)</f>
        <v>41264</v>
      </c>
      <c r="P668" s="1">
        <v>1655</v>
      </c>
      <c r="Q668" s="1">
        <v>1200</v>
      </c>
      <c r="R668" s="1">
        <f t="shared" si="207"/>
        <v>1200</v>
      </c>
      <c r="S668" s="1">
        <v>2.5</v>
      </c>
      <c r="U668" s="1">
        <f t="shared" si="208"/>
        <v>684</v>
      </c>
      <c r="V668" s="7">
        <f t="shared" si="209"/>
        <v>1.7543859649122806</v>
      </c>
      <c r="W668" s="7">
        <f t="shared" si="210"/>
        <v>640.35087719298247</v>
      </c>
      <c r="X668" s="7">
        <f t="shared" si="211"/>
        <v>0.80043859649122806</v>
      </c>
      <c r="AA668" s="8">
        <f t="shared" si="212"/>
        <v>44927</v>
      </c>
      <c r="AB668" s="8">
        <f t="shared" si="213"/>
        <v>45291</v>
      </c>
      <c r="AC668" s="1">
        <v>0</v>
      </c>
      <c r="AD668" s="1">
        <f t="shared" si="214"/>
        <v>0</v>
      </c>
      <c r="AE668" s="1">
        <f t="shared" si="215"/>
        <v>0</v>
      </c>
      <c r="AF668" s="1">
        <f t="shared" si="216"/>
        <v>0</v>
      </c>
      <c r="AG668" s="1">
        <f t="shared" si="217"/>
        <v>0</v>
      </c>
      <c r="AH668" s="1">
        <f t="shared" si="218"/>
        <v>182.5</v>
      </c>
      <c r="AI668" s="5">
        <f t="shared" si="219"/>
        <v>0.5</v>
      </c>
      <c r="AJ668" s="5">
        <f t="shared" si="220"/>
        <v>0.40021929824561403</v>
      </c>
      <c r="AK668" s="5">
        <f t="shared" si="221"/>
        <v>0</v>
      </c>
      <c r="AL668" s="5">
        <f t="shared" si="222"/>
        <v>0</v>
      </c>
      <c r="AM668" s="5">
        <f t="shared" si="223"/>
        <v>0</v>
      </c>
      <c r="AN668" s="5">
        <f t="shared" si="224"/>
        <v>0</v>
      </c>
      <c r="AO668" s="1" t="s">
        <v>102</v>
      </c>
    </row>
    <row r="669" spans="1:41" x14ac:dyDescent="0.25">
      <c r="A669" s="1" t="s">
        <v>19</v>
      </c>
      <c r="B669" s="1" t="s">
        <v>37</v>
      </c>
      <c r="C669" s="1" t="s">
        <v>21</v>
      </c>
      <c r="D669" s="1" t="s">
        <v>39</v>
      </c>
      <c r="E669" s="1" t="s">
        <v>96</v>
      </c>
      <c r="F669" s="1" t="s">
        <v>103</v>
      </c>
      <c r="G669" s="1" t="s">
        <v>114</v>
      </c>
      <c r="H669" s="1" t="s">
        <v>254</v>
      </c>
      <c r="I669" s="1" t="s">
        <v>255</v>
      </c>
      <c r="J669" s="1" t="s">
        <v>101</v>
      </c>
      <c r="K669" s="1" t="s">
        <v>175</v>
      </c>
      <c r="L669" s="1">
        <v>1207477</v>
      </c>
      <c r="M669" s="1" t="s">
        <v>875</v>
      </c>
      <c r="N669" s="8">
        <f>DATE(2012,3,26)</f>
        <v>40994</v>
      </c>
      <c r="O669" s="8">
        <f>DATE(2013,12,20)</f>
        <v>41628</v>
      </c>
      <c r="P669" s="1">
        <v>1655</v>
      </c>
      <c r="Q669" s="1">
        <v>1200</v>
      </c>
      <c r="R669" s="1">
        <f t="shared" si="207"/>
        <v>1200</v>
      </c>
      <c r="S669" s="1">
        <v>2.5</v>
      </c>
      <c r="U669" s="1">
        <f t="shared" si="208"/>
        <v>635</v>
      </c>
      <c r="V669" s="7">
        <f t="shared" si="209"/>
        <v>1.889763779527559</v>
      </c>
      <c r="W669" s="7">
        <f t="shared" si="210"/>
        <v>689.763779527559</v>
      </c>
      <c r="X669" s="7">
        <f t="shared" si="211"/>
        <v>0.86220472440944873</v>
      </c>
      <c r="AA669" s="8">
        <f t="shared" si="212"/>
        <v>44927</v>
      </c>
      <c r="AB669" s="8">
        <f t="shared" si="213"/>
        <v>45291</v>
      </c>
      <c r="AC669" s="1">
        <v>0</v>
      </c>
      <c r="AD669" s="1">
        <f t="shared" si="214"/>
        <v>0</v>
      </c>
      <c r="AE669" s="1">
        <f t="shared" si="215"/>
        <v>0</v>
      </c>
      <c r="AF669" s="1">
        <f t="shared" si="216"/>
        <v>0</v>
      </c>
      <c r="AG669" s="1">
        <f t="shared" si="217"/>
        <v>0</v>
      </c>
      <c r="AH669" s="1">
        <f t="shared" si="218"/>
        <v>182.5</v>
      </c>
      <c r="AI669" s="5">
        <f t="shared" si="219"/>
        <v>0.5</v>
      </c>
      <c r="AJ669" s="5">
        <f t="shared" si="220"/>
        <v>0.43110236220472437</v>
      </c>
      <c r="AK669" s="5">
        <f t="shared" si="221"/>
        <v>0</v>
      </c>
      <c r="AL669" s="5">
        <f t="shared" si="222"/>
        <v>0</v>
      </c>
      <c r="AM669" s="5">
        <f t="shared" si="223"/>
        <v>0</v>
      </c>
      <c r="AN669" s="5">
        <f t="shared" si="224"/>
        <v>0</v>
      </c>
      <c r="AO669" s="1" t="s">
        <v>102</v>
      </c>
    </row>
    <row r="670" spans="1:41" x14ac:dyDescent="0.25">
      <c r="A670" s="1" t="s">
        <v>19</v>
      </c>
      <c r="B670" s="1" t="s">
        <v>37</v>
      </c>
      <c r="C670" s="1" t="s">
        <v>21</v>
      </c>
      <c r="D670" s="1" t="s">
        <v>39</v>
      </c>
      <c r="E670" s="1" t="s">
        <v>172</v>
      </c>
      <c r="F670" s="1" t="s">
        <v>534</v>
      </c>
      <c r="G670" s="1" t="s">
        <v>320</v>
      </c>
      <c r="H670" s="1" t="s">
        <v>321</v>
      </c>
      <c r="I670" s="1" t="s">
        <v>174</v>
      </c>
      <c r="J670" s="1" t="s">
        <v>101</v>
      </c>
      <c r="L670" s="1">
        <v>1501987</v>
      </c>
      <c r="M670" s="1" t="s">
        <v>876</v>
      </c>
      <c r="N670" s="8">
        <f>DATE(2012,10,15)</f>
        <v>41197</v>
      </c>
      <c r="O670" s="8">
        <f>DATE(2015,8,28)</f>
        <v>42244</v>
      </c>
      <c r="P670" s="1">
        <v>2980</v>
      </c>
      <c r="Q670" s="1">
        <v>3200</v>
      </c>
      <c r="R670" s="1">
        <f t="shared" si="207"/>
        <v>3200</v>
      </c>
      <c r="S670" s="1">
        <v>2.5</v>
      </c>
      <c r="U670" s="1">
        <f t="shared" si="208"/>
        <v>1048</v>
      </c>
      <c r="V670" s="7">
        <f t="shared" si="209"/>
        <v>2.8435114503816794</v>
      </c>
      <c r="W670" s="7">
        <f t="shared" si="210"/>
        <v>1037.8816793893129</v>
      </c>
      <c r="X670" s="7">
        <f t="shared" si="211"/>
        <v>1.2973520992366412</v>
      </c>
      <c r="AA670" s="8">
        <f t="shared" si="212"/>
        <v>44927</v>
      </c>
      <c r="AB670" s="8">
        <f t="shared" si="213"/>
        <v>45291</v>
      </c>
      <c r="AC670" s="1">
        <v>1</v>
      </c>
      <c r="AD670" s="1">
        <f t="shared" si="214"/>
        <v>0</v>
      </c>
      <c r="AE670" s="1">
        <f t="shared" si="215"/>
        <v>0</v>
      </c>
      <c r="AF670" s="1">
        <f t="shared" si="216"/>
        <v>0</v>
      </c>
      <c r="AG670" s="1">
        <f t="shared" si="217"/>
        <v>0</v>
      </c>
      <c r="AH670" s="1">
        <f t="shared" si="218"/>
        <v>182.5</v>
      </c>
      <c r="AI670" s="5">
        <f t="shared" si="219"/>
        <v>0.5</v>
      </c>
      <c r="AJ670" s="5">
        <f t="shared" si="220"/>
        <v>0.64867604961832059</v>
      </c>
      <c r="AK670" s="5">
        <f t="shared" si="221"/>
        <v>0</v>
      </c>
      <c r="AL670" s="5">
        <f t="shared" si="222"/>
        <v>0</v>
      </c>
      <c r="AM670" s="5">
        <f t="shared" si="223"/>
        <v>0</v>
      </c>
      <c r="AN670" s="5">
        <f t="shared" si="224"/>
        <v>0</v>
      </c>
      <c r="AO670" s="1" t="s">
        <v>111</v>
      </c>
    </row>
    <row r="671" spans="1:41" x14ac:dyDescent="0.25">
      <c r="A671" s="1" t="s">
        <v>19</v>
      </c>
      <c r="B671" s="1" t="s">
        <v>37</v>
      </c>
      <c r="C671" s="1" t="s">
        <v>21</v>
      </c>
      <c r="D671" s="1" t="s">
        <v>39</v>
      </c>
      <c r="E671" s="1" t="s">
        <v>96</v>
      </c>
      <c r="F671" s="1" t="s">
        <v>103</v>
      </c>
      <c r="G671" s="1" t="s">
        <v>127</v>
      </c>
      <c r="H671" s="1" t="s">
        <v>872</v>
      </c>
      <c r="I671" s="1" t="s">
        <v>157</v>
      </c>
      <c r="J671" s="1" t="s">
        <v>101</v>
      </c>
      <c r="L671" s="1">
        <v>1359453</v>
      </c>
      <c r="M671" s="1" t="s">
        <v>877</v>
      </c>
      <c r="N671" s="8">
        <f>DATE(2012,11,7)</f>
        <v>41220</v>
      </c>
      <c r="O671" s="8">
        <f>DATE(2015,8,28)</f>
        <v>42244</v>
      </c>
      <c r="P671" s="1">
        <v>2160</v>
      </c>
      <c r="Q671" s="1">
        <v>1600</v>
      </c>
      <c r="R671" s="1">
        <f t="shared" si="207"/>
        <v>1600</v>
      </c>
      <c r="S671" s="1">
        <v>1</v>
      </c>
      <c r="U671" s="1">
        <f t="shared" si="208"/>
        <v>1025</v>
      </c>
      <c r="V671" s="7">
        <f t="shared" si="209"/>
        <v>1.5609756097560976</v>
      </c>
      <c r="W671" s="7">
        <f t="shared" si="210"/>
        <v>569.7560975609756</v>
      </c>
      <c r="X671" s="7">
        <f t="shared" si="211"/>
        <v>0.71219512195121948</v>
      </c>
      <c r="AA671" s="8">
        <f t="shared" si="212"/>
        <v>44927</v>
      </c>
      <c r="AB671" s="8">
        <f t="shared" si="213"/>
        <v>45291</v>
      </c>
      <c r="AC671" s="1">
        <v>1</v>
      </c>
      <c r="AD671" s="1">
        <f t="shared" si="214"/>
        <v>0</v>
      </c>
      <c r="AE671" s="1">
        <f t="shared" si="215"/>
        <v>0</v>
      </c>
      <c r="AF671" s="1">
        <f t="shared" si="216"/>
        <v>0</v>
      </c>
      <c r="AG671" s="1">
        <f t="shared" si="217"/>
        <v>0</v>
      </c>
      <c r="AH671" s="1">
        <f t="shared" si="218"/>
        <v>182.5</v>
      </c>
      <c r="AI671" s="5">
        <f t="shared" si="219"/>
        <v>0.5</v>
      </c>
      <c r="AJ671" s="5">
        <f t="shared" si="220"/>
        <v>0.35609756097560974</v>
      </c>
      <c r="AK671" s="5">
        <f t="shared" si="221"/>
        <v>0</v>
      </c>
      <c r="AL671" s="5">
        <f t="shared" si="222"/>
        <v>0</v>
      </c>
      <c r="AM671" s="5">
        <f t="shared" si="223"/>
        <v>0</v>
      </c>
      <c r="AN671" s="5">
        <f t="shared" si="224"/>
        <v>0</v>
      </c>
      <c r="AO671" s="1" t="s">
        <v>102</v>
      </c>
    </row>
    <row r="672" spans="1:41" x14ac:dyDescent="0.25">
      <c r="A672" s="1" t="s">
        <v>19</v>
      </c>
      <c r="B672" s="1" t="s">
        <v>37</v>
      </c>
      <c r="C672" s="1" t="s">
        <v>21</v>
      </c>
      <c r="D672" s="1" t="s">
        <v>39</v>
      </c>
      <c r="E672" s="1" t="s">
        <v>96</v>
      </c>
      <c r="F672" s="1" t="s">
        <v>103</v>
      </c>
      <c r="G672" s="1" t="s">
        <v>98</v>
      </c>
      <c r="H672" s="1" t="s">
        <v>878</v>
      </c>
      <c r="I672" s="1" t="s">
        <v>255</v>
      </c>
      <c r="J672" s="1" t="s">
        <v>101</v>
      </c>
      <c r="L672" s="1">
        <v>1359454</v>
      </c>
      <c r="M672" s="1" t="s">
        <v>879</v>
      </c>
      <c r="N672" s="8">
        <f>DATE(2012,11,7)</f>
        <v>41220</v>
      </c>
      <c r="O672" s="8">
        <f>DATE(2017,8,25)</f>
        <v>42972</v>
      </c>
      <c r="P672" s="1">
        <v>4522</v>
      </c>
      <c r="Q672" s="1">
        <v>3600</v>
      </c>
      <c r="R672" s="1">
        <f t="shared" si="207"/>
        <v>3600</v>
      </c>
      <c r="S672" s="1">
        <v>2.5</v>
      </c>
      <c r="U672" s="1">
        <f t="shared" si="208"/>
        <v>1753</v>
      </c>
      <c r="V672" s="7">
        <f t="shared" si="209"/>
        <v>2.0536223616657159</v>
      </c>
      <c r="W672" s="7">
        <f t="shared" si="210"/>
        <v>749.57216200798632</v>
      </c>
      <c r="X672" s="7">
        <f t="shared" si="211"/>
        <v>0.93696520250998294</v>
      </c>
      <c r="AA672" s="8">
        <f t="shared" si="212"/>
        <v>44927</v>
      </c>
      <c r="AB672" s="8">
        <f t="shared" si="213"/>
        <v>45291</v>
      </c>
      <c r="AC672" s="1">
        <v>0</v>
      </c>
      <c r="AD672" s="1">
        <f t="shared" si="214"/>
        <v>0</v>
      </c>
      <c r="AE672" s="1">
        <f t="shared" si="215"/>
        <v>0</v>
      </c>
      <c r="AF672" s="1">
        <f t="shared" si="216"/>
        <v>0</v>
      </c>
      <c r="AG672" s="1">
        <f t="shared" si="217"/>
        <v>0</v>
      </c>
      <c r="AH672" s="1">
        <f t="shared" si="218"/>
        <v>182.5</v>
      </c>
      <c r="AI672" s="5">
        <f t="shared" si="219"/>
        <v>0.5</v>
      </c>
      <c r="AJ672" s="5">
        <f t="shared" si="220"/>
        <v>0.46848260125499147</v>
      </c>
      <c r="AK672" s="5">
        <f t="shared" si="221"/>
        <v>0</v>
      </c>
      <c r="AL672" s="5">
        <f t="shared" si="222"/>
        <v>0</v>
      </c>
      <c r="AM672" s="5">
        <f t="shared" si="223"/>
        <v>0</v>
      </c>
      <c r="AN672" s="5">
        <f t="shared" si="224"/>
        <v>0</v>
      </c>
      <c r="AO672" s="1" t="s">
        <v>102</v>
      </c>
    </row>
    <row r="673" spans="1:41" x14ac:dyDescent="0.25">
      <c r="A673" s="1" t="s">
        <v>19</v>
      </c>
      <c r="B673" s="1" t="s">
        <v>37</v>
      </c>
      <c r="C673" s="1" t="s">
        <v>21</v>
      </c>
      <c r="D673" s="1" t="s">
        <v>39</v>
      </c>
      <c r="E673" s="1" t="s">
        <v>96</v>
      </c>
      <c r="F673" s="1" t="s">
        <v>103</v>
      </c>
      <c r="G673" s="1" t="s">
        <v>127</v>
      </c>
      <c r="H673" s="1" t="s">
        <v>872</v>
      </c>
      <c r="I673" s="1" t="s">
        <v>157</v>
      </c>
      <c r="J673" s="1" t="s">
        <v>101</v>
      </c>
      <c r="L673" s="1">
        <v>1722021</v>
      </c>
      <c r="M673" s="1" t="s">
        <v>880</v>
      </c>
      <c r="N673" s="8">
        <f>DATE(2013,4,15)</f>
        <v>41379</v>
      </c>
      <c r="O673" s="8">
        <f>DATE(2015,12,31)</f>
        <v>42369</v>
      </c>
      <c r="P673" s="1">
        <v>2160</v>
      </c>
      <c r="Q673" s="1">
        <v>1600</v>
      </c>
      <c r="R673" s="1">
        <f t="shared" si="207"/>
        <v>1600</v>
      </c>
      <c r="S673" s="1">
        <v>1</v>
      </c>
      <c r="U673" s="1">
        <f t="shared" si="208"/>
        <v>991</v>
      </c>
      <c r="V673" s="7">
        <f t="shared" si="209"/>
        <v>1.6145307769929365</v>
      </c>
      <c r="W673" s="7">
        <f t="shared" si="210"/>
        <v>589.30373360242186</v>
      </c>
      <c r="X673" s="7">
        <f t="shared" si="211"/>
        <v>0.73662966700302734</v>
      </c>
      <c r="AA673" s="8">
        <f t="shared" si="212"/>
        <v>44927</v>
      </c>
      <c r="AB673" s="8">
        <f t="shared" si="213"/>
        <v>45291</v>
      </c>
      <c r="AC673" s="1">
        <v>1</v>
      </c>
      <c r="AD673" s="1">
        <f t="shared" si="214"/>
        <v>0</v>
      </c>
      <c r="AE673" s="1">
        <f t="shared" si="215"/>
        <v>0</v>
      </c>
      <c r="AF673" s="1">
        <f t="shared" si="216"/>
        <v>0</v>
      </c>
      <c r="AG673" s="1">
        <f t="shared" si="217"/>
        <v>0</v>
      </c>
      <c r="AH673" s="1">
        <f t="shared" si="218"/>
        <v>182.5</v>
      </c>
      <c r="AI673" s="5">
        <f t="shared" si="219"/>
        <v>0.5</v>
      </c>
      <c r="AJ673" s="5">
        <f t="shared" si="220"/>
        <v>0.36831483350151367</v>
      </c>
      <c r="AK673" s="5">
        <f t="shared" si="221"/>
        <v>0</v>
      </c>
      <c r="AL673" s="5">
        <f t="shared" si="222"/>
        <v>0</v>
      </c>
      <c r="AM673" s="5">
        <f t="shared" si="223"/>
        <v>0</v>
      </c>
      <c r="AN673" s="5">
        <f t="shared" si="224"/>
        <v>0</v>
      </c>
      <c r="AO673" s="1" t="s">
        <v>102</v>
      </c>
    </row>
    <row r="674" spans="1:41" x14ac:dyDescent="0.25">
      <c r="A674" s="1" t="s">
        <v>19</v>
      </c>
      <c r="B674" s="1" t="s">
        <v>37</v>
      </c>
      <c r="C674" s="1" t="s">
        <v>21</v>
      </c>
      <c r="D674" s="1" t="s">
        <v>39</v>
      </c>
      <c r="E674" s="1" t="s">
        <v>96</v>
      </c>
      <c r="F674" s="1" t="s">
        <v>103</v>
      </c>
      <c r="G674" s="1" t="s">
        <v>98</v>
      </c>
      <c r="H674" s="1" t="s">
        <v>878</v>
      </c>
      <c r="I674" s="1" t="s">
        <v>255</v>
      </c>
      <c r="J674" s="1" t="s">
        <v>101</v>
      </c>
      <c r="L674" s="1">
        <v>1722022</v>
      </c>
      <c r="M674" s="1" t="s">
        <v>881</v>
      </c>
      <c r="N674" s="8">
        <f>DATE(2013,4,15)</f>
        <v>41379</v>
      </c>
      <c r="O674" s="8">
        <f>DATE(2017,12,31)</f>
        <v>43100</v>
      </c>
      <c r="P674" s="1">
        <v>4020</v>
      </c>
      <c r="Q674" s="1">
        <v>3600</v>
      </c>
      <c r="R674" s="1">
        <f t="shared" si="207"/>
        <v>3600</v>
      </c>
      <c r="S674" s="1">
        <v>2.5</v>
      </c>
      <c r="U674" s="1">
        <f t="shared" si="208"/>
        <v>1722</v>
      </c>
      <c r="V674" s="7">
        <f t="shared" si="209"/>
        <v>2.0905923344947737</v>
      </c>
      <c r="W674" s="7">
        <f t="shared" si="210"/>
        <v>763.06620209059236</v>
      </c>
      <c r="X674" s="7">
        <f t="shared" si="211"/>
        <v>0.95383275261324041</v>
      </c>
      <c r="AA674" s="8">
        <f t="shared" si="212"/>
        <v>44927</v>
      </c>
      <c r="AB674" s="8">
        <f t="shared" si="213"/>
        <v>45291</v>
      </c>
      <c r="AC674" s="1">
        <v>1</v>
      </c>
      <c r="AD674" s="1">
        <f t="shared" si="214"/>
        <v>0</v>
      </c>
      <c r="AE674" s="1">
        <f t="shared" si="215"/>
        <v>0</v>
      </c>
      <c r="AF674" s="1">
        <f t="shared" si="216"/>
        <v>0</v>
      </c>
      <c r="AG674" s="1">
        <f t="shared" si="217"/>
        <v>0</v>
      </c>
      <c r="AH674" s="1">
        <f t="shared" si="218"/>
        <v>182.5</v>
      </c>
      <c r="AI674" s="5">
        <f t="shared" si="219"/>
        <v>0.5</v>
      </c>
      <c r="AJ674" s="5">
        <f t="shared" si="220"/>
        <v>0.4769163763066202</v>
      </c>
      <c r="AK674" s="5">
        <f t="shared" si="221"/>
        <v>0</v>
      </c>
      <c r="AL674" s="5">
        <f t="shared" si="222"/>
        <v>0</v>
      </c>
      <c r="AM674" s="5">
        <f t="shared" si="223"/>
        <v>0</v>
      </c>
      <c r="AN674" s="5">
        <f t="shared" si="224"/>
        <v>0</v>
      </c>
      <c r="AO674" s="1" t="s">
        <v>102</v>
      </c>
    </row>
    <row r="675" spans="1:41" x14ac:dyDescent="0.25">
      <c r="A675" s="1" t="s">
        <v>19</v>
      </c>
      <c r="B675" s="1" t="s">
        <v>37</v>
      </c>
      <c r="C675" s="1" t="s">
        <v>21</v>
      </c>
      <c r="D675" s="1" t="s">
        <v>39</v>
      </c>
      <c r="E675" s="1" t="s">
        <v>96</v>
      </c>
      <c r="F675" s="1" t="s">
        <v>103</v>
      </c>
      <c r="G675" s="1" t="s">
        <v>127</v>
      </c>
      <c r="H675" s="1" t="s">
        <v>872</v>
      </c>
      <c r="I675" s="1" t="s">
        <v>157</v>
      </c>
      <c r="J675" s="1" t="s">
        <v>101</v>
      </c>
      <c r="L675" s="1">
        <v>1843009</v>
      </c>
      <c r="M675" s="1" t="s">
        <v>882</v>
      </c>
      <c r="N675" s="8">
        <f>DATE(2013,9,2)</f>
        <v>41519</v>
      </c>
      <c r="O675" s="8">
        <f>DATE(2016,7,29)</f>
        <v>42580</v>
      </c>
      <c r="P675" s="1">
        <v>2160</v>
      </c>
      <c r="Q675" s="1">
        <v>1600</v>
      </c>
      <c r="R675" s="1">
        <f t="shared" si="207"/>
        <v>1600</v>
      </c>
      <c r="S675" s="1">
        <v>1</v>
      </c>
      <c r="U675" s="1">
        <f t="shared" si="208"/>
        <v>1062</v>
      </c>
      <c r="V675" s="7">
        <f t="shared" si="209"/>
        <v>1.5065913370998116</v>
      </c>
      <c r="W675" s="7">
        <f t="shared" si="210"/>
        <v>549.90583804143125</v>
      </c>
      <c r="X675" s="7">
        <f t="shared" si="211"/>
        <v>0.68738229755178903</v>
      </c>
      <c r="AA675" s="8">
        <f t="shared" si="212"/>
        <v>44927</v>
      </c>
      <c r="AB675" s="8">
        <f t="shared" si="213"/>
        <v>45291</v>
      </c>
      <c r="AC675" s="1">
        <v>0</v>
      </c>
      <c r="AD675" s="1">
        <f t="shared" si="214"/>
        <v>0</v>
      </c>
      <c r="AE675" s="1">
        <f t="shared" si="215"/>
        <v>0</v>
      </c>
      <c r="AF675" s="1">
        <f t="shared" si="216"/>
        <v>0</v>
      </c>
      <c r="AG675" s="1">
        <f t="shared" si="217"/>
        <v>0</v>
      </c>
      <c r="AH675" s="1">
        <f t="shared" si="218"/>
        <v>182.5</v>
      </c>
      <c r="AI675" s="5">
        <f t="shared" si="219"/>
        <v>0.5</v>
      </c>
      <c r="AJ675" s="5">
        <f t="shared" si="220"/>
        <v>0.34369114877589452</v>
      </c>
      <c r="AK675" s="5">
        <f t="shared" si="221"/>
        <v>0</v>
      </c>
      <c r="AL675" s="5">
        <f t="shared" si="222"/>
        <v>0</v>
      </c>
      <c r="AM675" s="5">
        <f t="shared" si="223"/>
        <v>0</v>
      </c>
      <c r="AN675" s="5">
        <f t="shared" si="224"/>
        <v>0</v>
      </c>
      <c r="AO675" s="1" t="s">
        <v>102</v>
      </c>
    </row>
    <row r="676" spans="1:41" x14ac:dyDescent="0.25">
      <c r="A676" s="1" t="s">
        <v>19</v>
      </c>
      <c r="B676" s="1" t="s">
        <v>37</v>
      </c>
      <c r="C676" s="1" t="s">
        <v>21</v>
      </c>
      <c r="D676" s="1" t="s">
        <v>39</v>
      </c>
      <c r="E676" s="1" t="s">
        <v>96</v>
      </c>
      <c r="F676" s="1" t="s">
        <v>103</v>
      </c>
      <c r="G676" s="1" t="s">
        <v>98</v>
      </c>
      <c r="H676" s="1" t="s">
        <v>878</v>
      </c>
      <c r="I676" s="1" t="s">
        <v>255</v>
      </c>
      <c r="J676" s="1" t="s">
        <v>101</v>
      </c>
      <c r="L676" s="1">
        <v>1843111</v>
      </c>
      <c r="M676" s="1" t="s">
        <v>883</v>
      </c>
      <c r="N676" s="8">
        <f>DATE(2013,9,2)</f>
        <v>41519</v>
      </c>
      <c r="O676" s="8">
        <f>DATE(2018,7,27)</f>
        <v>43308</v>
      </c>
      <c r="P676" s="1">
        <v>4020</v>
      </c>
      <c r="Q676" s="1">
        <v>3600</v>
      </c>
      <c r="R676" s="1">
        <f t="shared" si="207"/>
        <v>3600</v>
      </c>
      <c r="S676" s="1">
        <v>2.5</v>
      </c>
      <c r="U676" s="1">
        <f t="shared" si="208"/>
        <v>1790</v>
      </c>
      <c r="V676" s="7">
        <f t="shared" si="209"/>
        <v>2.011173184357542</v>
      </c>
      <c r="W676" s="7">
        <f t="shared" si="210"/>
        <v>734.07821229050285</v>
      </c>
      <c r="X676" s="7">
        <f t="shared" si="211"/>
        <v>0.91759776536312854</v>
      </c>
      <c r="AA676" s="8">
        <f t="shared" si="212"/>
        <v>44927</v>
      </c>
      <c r="AB676" s="8">
        <f t="shared" si="213"/>
        <v>45291</v>
      </c>
      <c r="AC676" s="1">
        <v>0</v>
      </c>
      <c r="AD676" s="1">
        <f t="shared" si="214"/>
        <v>0</v>
      </c>
      <c r="AE676" s="1">
        <f t="shared" si="215"/>
        <v>0</v>
      </c>
      <c r="AF676" s="1">
        <f t="shared" si="216"/>
        <v>0</v>
      </c>
      <c r="AG676" s="1">
        <f t="shared" si="217"/>
        <v>0</v>
      </c>
      <c r="AH676" s="1">
        <f t="shared" si="218"/>
        <v>182.5</v>
      </c>
      <c r="AI676" s="5">
        <f t="shared" si="219"/>
        <v>0.5</v>
      </c>
      <c r="AJ676" s="5">
        <f t="shared" si="220"/>
        <v>0.45879888268156427</v>
      </c>
      <c r="AK676" s="5">
        <f t="shared" si="221"/>
        <v>0</v>
      </c>
      <c r="AL676" s="5">
        <f t="shared" si="222"/>
        <v>0</v>
      </c>
      <c r="AM676" s="5">
        <f t="shared" si="223"/>
        <v>0</v>
      </c>
      <c r="AN676" s="5">
        <f t="shared" si="224"/>
        <v>0</v>
      </c>
      <c r="AO676" s="1" t="s">
        <v>102</v>
      </c>
    </row>
    <row r="677" spans="1:41" x14ac:dyDescent="0.25">
      <c r="A677" s="1" t="s">
        <v>19</v>
      </c>
      <c r="B677" s="1" t="s">
        <v>37</v>
      </c>
      <c r="C677" s="1" t="s">
        <v>21</v>
      </c>
      <c r="D677" s="1" t="s">
        <v>39</v>
      </c>
      <c r="E677" s="1" t="s">
        <v>172</v>
      </c>
      <c r="F677" s="1" t="s">
        <v>534</v>
      </c>
      <c r="G677" s="1" t="s">
        <v>320</v>
      </c>
      <c r="H677" s="1" t="s">
        <v>321</v>
      </c>
      <c r="I677" s="1" t="s">
        <v>174</v>
      </c>
      <c r="J677" s="1" t="s">
        <v>101</v>
      </c>
      <c r="L677" s="1">
        <v>1858238</v>
      </c>
      <c r="M677" s="1" t="s">
        <v>884</v>
      </c>
      <c r="N677" s="8">
        <f>DATE(2013,12,2)</f>
        <v>41610</v>
      </c>
      <c r="O677" s="8">
        <f>DATE(2015,12,18)</f>
        <v>42356</v>
      </c>
      <c r="P677" s="1">
        <v>2980</v>
      </c>
      <c r="Q677" s="1">
        <v>3200</v>
      </c>
      <c r="R677" s="1">
        <f t="shared" si="207"/>
        <v>3200</v>
      </c>
      <c r="S677" s="1">
        <v>2.5</v>
      </c>
      <c r="U677" s="1">
        <f t="shared" si="208"/>
        <v>747</v>
      </c>
      <c r="V677" s="7">
        <f t="shared" si="209"/>
        <v>3.9892904953145916</v>
      </c>
      <c r="W677" s="7">
        <f t="shared" si="210"/>
        <v>1456.0910307898259</v>
      </c>
      <c r="X677" s="7">
        <f t="shared" si="211"/>
        <v>1.8201137884872824</v>
      </c>
      <c r="AA677" s="8">
        <f t="shared" si="212"/>
        <v>44927</v>
      </c>
      <c r="AB677" s="8">
        <f t="shared" si="213"/>
        <v>45291</v>
      </c>
      <c r="AC677" s="1">
        <v>0</v>
      </c>
      <c r="AD677" s="1">
        <f t="shared" si="214"/>
        <v>0</v>
      </c>
      <c r="AE677" s="1">
        <f t="shared" si="215"/>
        <v>0</v>
      </c>
      <c r="AF677" s="1">
        <f t="shared" si="216"/>
        <v>0</v>
      </c>
      <c r="AG677" s="1">
        <f t="shared" si="217"/>
        <v>0</v>
      </c>
      <c r="AH677" s="1">
        <f t="shared" si="218"/>
        <v>182.5</v>
      </c>
      <c r="AI677" s="5">
        <f t="shared" si="219"/>
        <v>0.5</v>
      </c>
      <c r="AJ677" s="5">
        <f t="shared" si="220"/>
        <v>0.91005689424364122</v>
      </c>
      <c r="AK677" s="5">
        <f t="shared" si="221"/>
        <v>0</v>
      </c>
      <c r="AL677" s="5">
        <f t="shared" si="222"/>
        <v>0</v>
      </c>
      <c r="AM677" s="5">
        <f t="shared" si="223"/>
        <v>0</v>
      </c>
      <c r="AN677" s="5">
        <f t="shared" si="224"/>
        <v>0</v>
      </c>
      <c r="AO677" s="1" t="s">
        <v>111</v>
      </c>
    </row>
    <row r="678" spans="1:41" x14ac:dyDescent="0.25">
      <c r="A678" s="1" t="s">
        <v>19</v>
      </c>
      <c r="B678" s="1" t="s">
        <v>37</v>
      </c>
      <c r="C678" s="1" t="s">
        <v>21</v>
      </c>
      <c r="D678" s="1" t="s">
        <v>39</v>
      </c>
      <c r="E678" s="1" t="s">
        <v>96</v>
      </c>
      <c r="F678" s="1" t="s">
        <v>103</v>
      </c>
      <c r="G678" s="1" t="s">
        <v>127</v>
      </c>
      <c r="H678" s="1" t="s">
        <v>872</v>
      </c>
      <c r="I678" s="1" t="s">
        <v>157</v>
      </c>
      <c r="J678" s="1" t="s">
        <v>101</v>
      </c>
      <c r="L678" s="1">
        <v>1858265</v>
      </c>
      <c r="M678" s="1" t="s">
        <v>885</v>
      </c>
      <c r="N678" s="8">
        <f>DATE(2014,2,17)</f>
        <v>41687</v>
      </c>
      <c r="O678" s="8">
        <f>DATE(2016,12,16)</f>
        <v>42720</v>
      </c>
      <c r="P678" s="1">
        <v>2160</v>
      </c>
      <c r="Q678" s="1">
        <v>1600</v>
      </c>
      <c r="R678" s="1">
        <f t="shared" si="207"/>
        <v>1600</v>
      </c>
      <c r="S678" s="1">
        <v>1</v>
      </c>
      <c r="U678" s="1">
        <f t="shared" si="208"/>
        <v>1034</v>
      </c>
      <c r="V678" s="7">
        <f t="shared" si="209"/>
        <v>1.5473887814313345</v>
      </c>
      <c r="W678" s="7">
        <f t="shared" si="210"/>
        <v>564.79690522243709</v>
      </c>
      <c r="X678" s="7">
        <f t="shared" si="211"/>
        <v>0.70599613152804641</v>
      </c>
      <c r="AA678" s="8">
        <f t="shared" si="212"/>
        <v>44927</v>
      </c>
      <c r="AB678" s="8">
        <f t="shared" si="213"/>
        <v>45291</v>
      </c>
      <c r="AC678" s="1">
        <v>0</v>
      </c>
      <c r="AD678" s="1">
        <f t="shared" si="214"/>
        <v>0</v>
      </c>
      <c r="AE678" s="1">
        <f t="shared" si="215"/>
        <v>0</v>
      </c>
      <c r="AF678" s="1">
        <f t="shared" si="216"/>
        <v>0</v>
      </c>
      <c r="AG678" s="1">
        <f t="shared" si="217"/>
        <v>0</v>
      </c>
      <c r="AH678" s="1">
        <f t="shared" si="218"/>
        <v>182.5</v>
      </c>
      <c r="AI678" s="5">
        <f t="shared" si="219"/>
        <v>0.5</v>
      </c>
      <c r="AJ678" s="5">
        <f t="shared" si="220"/>
        <v>0.35299806576402321</v>
      </c>
      <c r="AK678" s="5">
        <f t="shared" si="221"/>
        <v>0</v>
      </c>
      <c r="AL678" s="5">
        <f t="shared" si="222"/>
        <v>0</v>
      </c>
      <c r="AM678" s="5">
        <f t="shared" si="223"/>
        <v>0</v>
      </c>
      <c r="AN678" s="5">
        <f t="shared" si="224"/>
        <v>0</v>
      </c>
      <c r="AO678" s="1" t="s">
        <v>102</v>
      </c>
    </row>
    <row r="679" spans="1:41" x14ac:dyDescent="0.25">
      <c r="A679" s="1" t="s">
        <v>19</v>
      </c>
      <c r="B679" s="1" t="s">
        <v>37</v>
      </c>
      <c r="C679" s="1" t="s">
        <v>21</v>
      </c>
      <c r="D679" s="1" t="s">
        <v>39</v>
      </c>
      <c r="E679" s="1" t="s">
        <v>96</v>
      </c>
      <c r="F679" s="1" t="s">
        <v>103</v>
      </c>
      <c r="G679" s="1" t="s">
        <v>114</v>
      </c>
      <c r="H679" s="1" t="s">
        <v>254</v>
      </c>
      <c r="I679" s="1" t="s">
        <v>255</v>
      </c>
      <c r="J679" s="1" t="s">
        <v>101</v>
      </c>
      <c r="K679" s="1" t="s">
        <v>175</v>
      </c>
      <c r="L679" s="1">
        <v>1858267</v>
      </c>
      <c r="M679" s="1" t="s">
        <v>886</v>
      </c>
      <c r="N679" s="8">
        <f>DATE(2014,2,17)</f>
        <v>41687</v>
      </c>
      <c r="O679" s="8">
        <f>DATE(2015,12,18)</f>
        <v>42356</v>
      </c>
      <c r="P679" s="1">
        <v>1224</v>
      </c>
      <c r="Q679" s="1">
        <v>1200</v>
      </c>
      <c r="R679" s="1">
        <f t="shared" si="207"/>
        <v>1200</v>
      </c>
      <c r="S679" s="1">
        <v>2.5</v>
      </c>
      <c r="U679" s="1">
        <f t="shared" si="208"/>
        <v>670</v>
      </c>
      <c r="V679" s="7">
        <f t="shared" si="209"/>
        <v>1.791044776119403</v>
      </c>
      <c r="W679" s="7">
        <f t="shared" si="210"/>
        <v>653.73134328358208</v>
      </c>
      <c r="X679" s="7">
        <f t="shared" si="211"/>
        <v>0.81716417910447758</v>
      </c>
      <c r="AA679" s="8">
        <f t="shared" si="212"/>
        <v>44927</v>
      </c>
      <c r="AB679" s="8">
        <f t="shared" si="213"/>
        <v>45291</v>
      </c>
      <c r="AC679" s="1">
        <v>0</v>
      </c>
      <c r="AD679" s="1">
        <f t="shared" si="214"/>
        <v>0</v>
      </c>
      <c r="AE679" s="1">
        <f t="shared" si="215"/>
        <v>0</v>
      </c>
      <c r="AF679" s="1">
        <f t="shared" si="216"/>
        <v>0</v>
      </c>
      <c r="AG679" s="1">
        <f t="shared" si="217"/>
        <v>0</v>
      </c>
      <c r="AH679" s="1">
        <f t="shared" si="218"/>
        <v>182.5</v>
      </c>
      <c r="AI679" s="5">
        <f t="shared" si="219"/>
        <v>0.5</v>
      </c>
      <c r="AJ679" s="5">
        <f t="shared" si="220"/>
        <v>0.40858208955223879</v>
      </c>
      <c r="AK679" s="5">
        <f t="shared" si="221"/>
        <v>0</v>
      </c>
      <c r="AL679" s="5">
        <f t="shared" si="222"/>
        <v>0</v>
      </c>
      <c r="AM679" s="5">
        <f t="shared" si="223"/>
        <v>0</v>
      </c>
      <c r="AN679" s="5">
        <f t="shared" si="224"/>
        <v>0</v>
      </c>
      <c r="AO679" s="1" t="s">
        <v>102</v>
      </c>
    </row>
    <row r="680" spans="1:41" x14ac:dyDescent="0.25">
      <c r="A680" s="1" t="s">
        <v>19</v>
      </c>
      <c r="B680" s="1" t="s">
        <v>37</v>
      </c>
      <c r="C680" s="1" t="s">
        <v>21</v>
      </c>
      <c r="D680" s="1" t="s">
        <v>39</v>
      </c>
      <c r="E680" s="1" t="s">
        <v>96</v>
      </c>
      <c r="F680" s="1" t="s">
        <v>103</v>
      </c>
      <c r="G680" s="1" t="s">
        <v>98</v>
      </c>
      <c r="H680" s="1" t="s">
        <v>878</v>
      </c>
      <c r="I680" s="1" t="s">
        <v>255</v>
      </c>
      <c r="J680" s="1" t="s">
        <v>101</v>
      </c>
      <c r="L680" s="1">
        <v>1858318</v>
      </c>
      <c r="M680" s="1" t="s">
        <v>887</v>
      </c>
      <c r="N680" s="8">
        <f>DATE(2014,2,17)</f>
        <v>41687</v>
      </c>
      <c r="O680" s="8">
        <f>DATE(2018,12,14)</f>
        <v>43448</v>
      </c>
      <c r="P680" s="1">
        <v>4020</v>
      </c>
      <c r="Q680" s="1">
        <v>3600</v>
      </c>
      <c r="R680" s="1">
        <f t="shared" si="207"/>
        <v>3600</v>
      </c>
      <c r="S680" s="1">
        <v>2.5</v>
      </c>
      <c r="U680" s="1">
        <f t="shared" si="208"/>
        <v>1762</v>
      </c>
      <c r="V680" s="7">
        <f t="shared" si="209"/>
        <v>2.0431328036322363</v>
      </c>
      <c r="W680" s="7">
        <f t="shared" si="210"/>
        <v>745.74347332576622</v>
      </c>
      <c r="X680" s="7">
        <f t="shared" si="211"/>
        <v>0.93217934165720773</v>
      </c>
      <c r="AA680" s="8">
        <f t="shared" si="212"/>
        <v>44927</v>
      </c>
      <c r="AB680" s="8">
        <f t="shared" si="213"/>
        <v>45291</v>
      </c>
      <c r="AC680" s="1">
        <v>1</v>
      </c>
      <c r="AD680" s="1">
        <f t="shared" si="214"/>
        <v>0</v>
      </c>
      <c r="AE680" s="1">
        <f t="shared" si="215"/>
        <v>0</v>
      </c>
      <c r="AF680" s="1">
        <f t="shared" si="216"/>
        <v>0</v>
      </c>
      <c r="AG680" s="1">
        <f t="shared" si="217"/>
        <v>0</v>
      </c>
      <c r="AH680" s="1">
        <f t="shared" si="218"/>
        <v>182.5</v>
      </c>
      <c r="AI680" s="5">
        <f t="shared" si="219"/>
        <v>0.5</v>
      </c>
      <c r="AJ680" s="5">
        <f t="shared" si="220"/>
        <v>0.46608967082860386</v>
      </c>
      <c r="AK680" s="5">
        <f t="shared" si="221"/>
        <v>0</v>
      </c>
      <c r="AL680" s="5">
        <f t="shared" si="222"/>
        <v>0</v>
      </c>
      <c r="AM680" s="5">
        <f t="shared" si="223"/>
        <v>0</v>
      </c>
      <c r="AN680" s="5">
        <f t="shared" si="224"/>
        <v>0</v>
      </c>
      <c r="AO680" s="1" t="s">
        <v>102</v>
      </c>
    </row>
    <row r="681" spans="1:41" x14ac:dyDescent="0.25">
      <c r="A681" s="1" t="s">
        <v>19</v>
      </c>
      <c r="B681" s="1" t="s">
        <v>37</v>
      </c>
      <c r="C681" s="1" t="s">
        <v>21</v>
      </c>
      <c r="D681" s="1" t="s">
        <v>39</v>
      </c>
      <c r="E681" s="1" t="s">
        <v>172</v>
      </c>
      <c r="F681" s="1" t="s">
        <v>534</v>
      </c>
      <c r="G681" s="1" t="s">
        <v>320</v>
      </c>
      <c r="H681" s="1" t="s">
        <v>321</v>
      </c>
      <c r="I681" s="1" t="s">
        <v>174</v>
      </c>
      <c r="J681" s="1" t="s">
        <v>101</v>
      </c>
      <c r="L681" s="1">
        <v>1951901</v>
      </c>
      <c r="M681" s="1" t="s">
        <v>888</v>
      </c>
      <c r="N681" s="8">
        <f>DATE(2014,6,25)</f>
        <v>41815</v>
      </c>
      <c r="O681" s="8">
        <f>DATE(2017,6,23)</f>
        <v>42909</v>
      </c>
      <c r="P681" s="1">
        <v>2980</v>
      </c>
      <c r="Q681" s="1">
        <v>3200</v>
      </c>
      <c r="R681" s="1">
        <f t="shared" si="207"/>
        <v>3200</v>
      </c>
      <c r="S681" s="1">
        <v>2.5</v>
      </c>
      <c r="U681" s="1">
        <f t="shared" si="208"/>
        <v>1095</v>
      </c>
      <c r="V681" s="7">
        <f t="shared" si="209"/>
        <v>2.7214611872146119</v>
      </c>
      <c r="W681" s="7">
        <f t="shared" si="210"/>
        <v>993.33333333333337</v>
      </c>
      <c r="X681" s="7">
        <f t="shared" si="211"/>
        <v>1.2416666666666667</v>
      </c>
      <c r="AA681" s="8">
        <f t="shared" si="212"/>
        <v>44927</v>
      </c>
      <c r="AB681" s="8">
        <f t="shared" si="213"/>
        <v>45291</v>
      </c>
      <c r="AC681" s="1">
        <v>1</v>
      </c>
      <c r="AD681" s="1">
        <f t="shared" si="214"/>
        <v>0</v>
      </c>
      <c r="AE681" s="1">
        <f t="shared" si="215"/>
        <v>0</v>
      </c>
      <c r="AF681" s="1">
        <f t="shared" si="216"/>
        <v>0</v>
      </c>
      <c r="AG681" s="1">
        <f t="shared" si="217"/>
        <v>0</v>
      </c>
      <c r="AH681" s="1">
        <f t="shared" si="218"/>
        <v>182.5</v>
      </c>
      <c r="AI681" s="5">
        <f t="shared" si="219"/>
        <v>0.5</v>
      </c>
      <c r="AJ681" s="5">
        <f t="shared" si="220"/>
        <v>0.62083333333333335</v>
      </c>
      <c r="AK681" s="5">
        <f t="shared" si="221"/>
        <v>0</v>
      </c>
      <c r="AL681" s="5">
        <f t="shared" si="222"/>
        <v>0</v>
      </c>
      <c r="AM681" s="5">
        <f t="shared" si="223"/>
        <v>0</v>
      </c>
      <c r="AN681" s="5">
        <f t="shared" si="224"/>
        <v>0</v>
      </c>
      <c r="AO681" s="1" t="s">
        <v>111</v>
      </c>
    </row>
    <row r="682" spans="1:41" x14ac:dyDescent="0.25">
      <c r="A682" s="1" t="s">
        <v>19</v>
      </c>
      <c r="B682" s="1" t="s">
        <v>37</v>
      </c>
      <c r="C682" s="1" t="s">
        <v>21</v>
      </c>
      <c r="D682" s="1" t="s">
        <v>39</v>
      </c>
      <c r="E682" s="1" t="s">
        <v>96</v>
      </c>
      <c r="F682" s="1" t="s">
        <v>103</v>
      </c>
      <c r="G682" s="1" t="s">
        <v>114</v>
      </c>
      <c r="H682" s="1" t="s">
        <v>254</v>
      </c>
      <c r="I682" s="1" t="s">
        <v>255</v>
      </c>
      <c r="J682" s="1" t="s">
        <v>101</v>
      </c>
      <c r="K682" s="1" t="s">
        <v>175</v>
      </c>
      <c r="L682" s="1">
        <v>1960543</v>
      </c>
      <c r="M682" s="1" t="s">
        <v>889</v>
      </c>
      <c r="N682" s="8">
        <f>DATE(2014,9,1)</f>
        <v>41883</v>
      </c>
      <c r="O682" s="8">
        <f>DATE(2016,7,20)</f>
        <v>42571</v>
      </c>
      <c r="P682" s="1">
        <v>1224</v>
      </c>
      <c r="Q682" s="1">
        <v>1200</v>
      </c>
      <c r="R682" s="1">
        <f t="shared" si="207"/>
        <v>1200</v>
      </c>
      <c r="S682" s="1">
        <v>2.5</v>
      </c>
      <c r="U682" s="1">
        <f t="shared" si="208"/>
        <v>689</v>
      </c>
      <c r="V682" s="7">
        <f t="shared" si="209"/>
        <v>1.741654571843251</v>
      </c>
      <c r="W682" s="7">
        <f t="shared" si="210"/>
        <v>635.70391872278663</v>
      </c>
      <c r="X682" s="7">
        <f t="shared" si="211"/>
        <v>0.7946298984034833</v>
      </c>
      <c r="AA682" s="8">
        <f t="shared" si="212"/>
        <v>44927</v>
      </c>
      <c r="AB682" s="8">
        <f t="shared" si="213"/>
        <v>45291</v>
      </c>
      <c r="AC682" s="1">
        <v>0</v>
      </c>
      <c r="AD682" s="1">
        <f t="shared" si="214"/>
        <v>0</v>
      </c>
      <c r="AE682" s="1">
        <f t="shared" si="215"/>
        <v>0</v>
      </c>
      <c r="AF682" s="1">
        <f t="shared" si="216"/>
        <v>0</v>
      </c>
      <c r="AG682" s="1">
        <f t="shared" si="217"/>
        <v>0</v>
      </c>
      <c r="AH682" s="1">
        <f t="shared" si="218"/>
        <v>182.5</v>
      </c>
      <c r="AI682" s="5">
        <f t="shared" si="219"/>
        <v>0.5</v>
      </c>
      <c r="AJ682" s="5">
        <f t="shared" si="220"/>
        <v>0.39731494920174165</v>
      </c>
      <c r="AK682" s="5">
        <f t="shared" si="221"/>
        <v>0</v>
      </c>
      <c r="AL682" s="5">
        <f t="shared" si="222"/>
        <v>0</v>
      </c>
      <c r="AM682" s="5">
        <f t="shared" si="223"/>
        <v>0</v>
      </c>
      <c r="AN682" s="5">
        <f t="shared" si="224"/>
        <v>0</v>
      </c>
      <c r="AO682" s="1" t="s">
        <v>102</v>
      </c>
    </row>
    <row r="683" spans="1:41" x14ac:dyDescent="0.25">
      <c r="A683" s="1" t="s">
        <v>19</v>
      </c>
      <c r="B683" s="1" t="s">
        <v>37</v>
      </c>
      <c r="C683" s="1" t="s">
        <v>21</v>
      </c>
      <c r="D683" s="1" t="s">
        <v>39</v>
      </c>
      <c r="E683" s="1" t="s">
        <v>96</v>
      </c>
      <c r="F683" s="1" t="s">
        <v>103</v>
      </c>
      <c r="G683" s="1" t="s">
        <v>98</v>
      </c>
      <c r="H683" s="1" t="s">
        <v>878</v>
      </c>
      <c r="I683" s="1" t="s">
        <v>255</v>
      </c>
      <c r="J683" s="1" t="s">
        <v>101</v>
      </c>
      <c r="L683" s="1">
        <v>1960549</v>
      </c>
      <c r="M683" s="1" t="s">
        <v>890</v>
      </c>
      <c r="N683" s="8">
        <f>DATE(2014,9,1)</f>
        <v>41883</v>
      </c>
      <c r="O683" s="8">
        <f>DATE(2019,7,22)</f>
        <v>43668</v>
      </c>
      <c r="P683" s="1">
        <v>4020</v>
      </c>
      <c r="Q683" s="1">
        <v>3600</v>
      </c>
      <c r="R683" s="1">
        <f t="shared" si="207"/>
        <v>3600</v>
      </c>
      <c r="S683" s="1">
        <v>2.5</v>
      </c>
      <c r="U683" s="1">
        <f t="shared" si="208"/>
        <v>1786</v>
      </c>
      <c r="V683" s="7">
        <f t="shared" si="209"/>
        <v>2.0156774916013438</v>
      </c>
      <c r="W683" s="7">
        <f t="shared" si="210"/>
        <v>735.72228443449046</v>
      </c>
      <c r="X683" s="7">
        <f t="shared" si="211"/>
        <v>0.91965285554311305</v>
      </c>
      <c r="AA683" s="8">
        <f t="shared" si="212"/>
        <v>44927</v>
      </c>
      <c r="AB683" s="8">
        <f t="shared" si="213"/>
        <v>45291</v>
      </c>
      <c r="AC683" s="1">
        <v>1</v>
      </c>
      <c r="AD683" s="1">
        <f t="shared" si="214"/>
        <v>0</v>
      </c>
      <c r="AE683" s="1">
        <f t="shared" si="215"/>
        <v>0</v>
      </c>
      <c r="AF683" s="1">
        <f t="shared" si="216"/>
        <v>0</v>
      </c>
      <c r="AG683" s="1">
        <f t="shared" si="217"/>
        <v>0</v>
      </c>
      <c r="AH683" s="1">
        <f t="shared" si="218"/>
        <v>182.5</v>
      </c>
      <c r="AI683" s="5">
        <f t="shared" si="219"/>
        <v>0.5</v>
      </c>
      <c r="AJ683" s="5">
        <f t="shared" si="220"/>
        <v>0.45982642777155652</v>
      </c>
      <c r="AK683" s="5">
        <f t="shared" si="221"/>
        <v>0</v>
      </c>
      <c r="AL683" s="5">
        <f t="shared" si="222"/>
        <v>0</v>
      </c>
      <c r="AM683" s="5">
        <f t="shared" si="223"/>
        <v>0</v>
      </c>
      <c r="AN683" s="5">
        <f t="shared" si="224"/>
        <v>0</v>
      </c>
      <c r="AO683" s="1" t="s">
        <v>102</v>
      </c>
    </row>
    <row r="684" spans="1:41" x14ac:dyDescent="0.25">
      <c r="A684" s="1" t="s">
        <v>19</v>
      </c>
      <c r="B684" s="1" t="s">
        <v>37</v>
      </c>
      <c r="C684" s="1" t="s">
        <v>21</v>
      </c>
      <c r="D684" s="1" t="s">
        <v>39</v>
      </c>
      <c r="E684" s="1" t="s">
        <v>96</v>
      </c>
      <c r="F684" s="1" t="s">
        <v>103</v>
      </c>
      <c r="G684" s="1" t="s">
        <v>127</v>
      </c>
      <c r="H684" s="1" t="s">
        <v>872</v>
      </c>
      <c r="I684" s="1" t="s">
        <v>157</v>
      </c>
      <c r="J684" s="1" t="s">
        <v>101</v>
      </c>
      <c r="L684" s="1">
        <v>1975857</v>
      </c>
      <c r="M684" s="1" t="s">
        <v>891</v>
      </c>
      <c r="N684" s="8">
        <f>DATE(2015,2,9)</f>
        <v>42044</v>
      </c>
      <c r="O684" s="8">
        <f>DATE(2017,12,18)</f>
        <v>43087</v>
      </c>
      <c r="P684" s="1">
        <v>2160</v>
      </c>
      <c r="Q684" s="1">
        <v>1600</v>
      </c>
      <c r="R684" s="1">
        <f t="shared" si="207"/>
        <v>1600</v>
      </c>
      <c r="S684" s="1">
        <v>1</v>
      </c>
      <c r="U684" s="1">
        <f t="shared" si="208"/>
        <v>1044</v>
      </c>
      <c r="V684" s="7">
        <f t="shared" si="209"/>
        <v>1.5325670498084292</v>
      </c>
      <c r="W684" s="7">
        <f t="shared" si="210"/>
        <v>559.38697318007667</v>
      </c>
      <c r="X684" s="7">
        <f t="shared" si="211"/>
        <v>0.6992337164750958</v>
      </c>
      <c r="AA684" s="8">
        <f t="shared" si="212"/>
        <v>44927</v>
      </c>
      <c r="AB684" s="8">
        <f t="shared" si="213"/>
        <v>45291</v>
      </c>
      <c r="AC684" s="1">
        <v>2</v>
      </c>
      <c r="AD684" s="1">
        <f t="shared" si="214"/>
        <v>0</v>
      </c>
      <c r="AE684" s="1">
        <f t="shared" si="215"/>
        <v>0</v>
      </c>
      <c r="AF684" s="1">
        <f t="shared" si="216"/>
        <v>0</v>
      </c>
      <c r="AG684" s="1">
        <f t="shared" si="217"/>
        <v>0</v>
      </c>
      <c r="AH684" s="1">
        <f t="shared" si="218"/>
        <v>182.5</v>
      </c>
      <c r="AI684" s="5">
        <f t="shared" si="219"/>
        <v>0.5</v>
      </c>
      <c r="AJ684" s="5">
        <f t="shared" si="220"/>
        <v>0.3496168582375479</v>
      </c>
      <c r="AK684" s="5">
        <f t="shared" si="221"/>
        <v>0</v>
      </c>
      <c r="AL684" s="5">
        <f t="shared" si="222"/>
        <v>0</v>
      </c>
      <c r="AM684" s="5">
        <f t="shared" si="223"/>
        <v>0</v>
      </c>
      <c r="AN684" s="5">
        <f t="shared" si="224"/>
        <v>0</v>
      </c>
      <c r="AO684" s="1" t="s">
        <v>102</v>
      </c>
    </row>
    <row r="685" spans="1:41" x14ac:dyDescent="0.25">
      <c r="A685" s="1" t="s">
        <v>19</v>
      </c>
      <c r="B685" s="1" t="s">
        <v>37</v>
      </c>
      <c r="C685" s="1" t="s">
        <v>21</v>
      </c>
      <c r="D685" s="1" t="s">
        <v>39</v>
      </c>
      <c r="E685" s="1" t="s">
        <v>96</v>
      </c>
      <c r="F685" s="1" t="s">
        <v>103</v>
      </c>
      <c r="G685" s="1" t="s">
        <v>114</v>
      </c>
      <c r="H685" s="1" t="s">
        <v>892</v>
      </c>
      <c r="I685" s="1" t="s">
        <v>194</v>
      </c>
      <c r="J685" s="1" t="s">
        <v>101</v>
      </c>
      <c r="K685" s="1" t="s">
        <v>175</v>
      </c>
      <c r="L685" s="1">
        <v>1975995</v>
      </c>
      <c r="M685" s="1" t="s">
        <v>893</v>
      </c>
      <c r="N685" s="8">
        <f>DATE(2015,2,9)</f>
        <v>42044</v>
      </c>
      <c r="O685" s="8">
        <f>DATE(2016,2,9)</f>
        <v>42409</v>
      </c>
      <c r="P685" s="1">
        <v>1343</v>
      </c>
      <c r="Q685" s="1">
        <v>1200</v>
      </c>
      <c r="R685" s="1">
        <f t="shared" si="207"/>
        <v>1200</v>
      </c>
      <c r="S685" s="1">
        <v>2.5</v>
      </c>
      <c r="U685" s="1">
        <f t="shared" si="208"/>
        <v>366</v>
      </c>
      <c r="V685" s="7">
        <f t="shared" si="209"/>
        <v>3.278688524590164</v>
      </c>
      <c r="W685" s="7">
        <f t="shared" si="210"/>
        <v>1196.7213114754099</v>
      </c>
      <c r="X685" s="7">
        <f t="shared" si="211"/>
        <v>1.4959016393442623</v>
      </c>
      <c r="AA685" s="8">
        <f t="shared" si="212"/>
        <v>44927</v>
      </c>
      <c r="AB685" s="8">
        <f t="shared" si="213"/>
        <v>45291</v>
      </c>
      <c r="AC685" s="1">
        <v>1</v>
      </c>
      <c r="AD685" s="1">
        <f t="shared" si="214"/>
        <v>0</v>
      </c>
      <c r="AE685" s="1">
        <f t="shared" si="215"/>
        <v>0</v>
      </c>
      <c r="AF685" s="1">
        <f t="shared" si="216"/>
        <v>0</v>
      </c>
      <c r="AG685" s="1">
        <f t="shared" si="217"/>
        <v>0</v>
      </c>
      <c r="AH685" s="1">
        <f t="shared" si="218"/>
        <v>182.5</v>
      </c>
      <c r="AI685" s="5">
        <f t="shared" si="219"/>
        <v>0.5</v>
      </c>
      <c r="AJ685" s="5">
        <f t="shared" si="220"/>
        <v>0.74795081967213117</v>
      </c>
      <c r="AK685" s="5">
        <f t="shared" si="221"/>
        <v>0</v>
      </c>
      <c r="AL685" s="5">
        <f t="shared" si="222"/>
        <v>0</v>
      </c>
      <c r="AM685" s="5">
        <f t="shared" si="223"/>
        <v>0</v>
      </c>
      <c r="AN685" s="5">
        <f t="shared" si="224"/>
        <v>0</v>
      </c>
      <c r="AO685" s="1" t="s">
        <v>102</v>
      </c>
    </row>
    <row r="686" spans="1:41" x14ac:dyDescent="0.25">
      <c r="A686" s="1" t="s">
        <v>19</v>
      </c>
      <c r="B686" s="1" t="s">
        <v>37</v>
      </c>
      <c r="C686" s="1" t="s">
        <v>21</v>
      </c>
      <c r="D686" s="1" t="s">
        <v>39</v>
      </c>
      <c r="E686" s="1" t="s">
        <v>96</v>
      </c>
      <c r="F686" s="1" t="s">
        <v>103</v>
      </c>
      <c r="G686" s="1" t="s">
        <v>114</v>
      </c>
      <c r="H686" s="1" t="s">
        <v>894</v>
      </c>
      <c r="I686" s="1" t="s">
        <v>157</v>
      </c>
      <c r="J686" s="1" t="s">
        <v>101</v>
      </c>
      <c r="K686" s="1" t="s">
        <v>116</v>
      </c>
      <c r="L686" s="1">
        <v>1976608</v>
      </c>
      <c r="M686" s="1" t="s">
        <v>895</v>
      </c>
      <c r="N686" s="8">
        <f>DATE(2015,2,9)</f>
        <v>42044</v>
      </c>
      <c r="O686" s="8">
        <f>DATE(2018,12,14)</f>
        <v>43448</v>
      </c>
      <c r="P686" s="1">
        <v>3604</v>
      </c>
      <c r="Q686" s="1">
        <v>1200</v>
      </c>
      <c r="R686" s="1">
        <f t="shared" si="207"/>
        <v>3200</v>
      </c>
      <c r="S686" s="1">
        <v>1.5</v>
      </c>
      <c r="U686" s="1">
        <f t="shared" si="208"/>
        <v>1405</v>
      </c>
      <c r="V686" s="7">
        <f t="shared" si="209"/>
        <v>2.2775800711743774</v>
      </c>
      <c r="W686" s="7">
        <f t="shared" si="210"/>
        <v>831.31672597864781</v>
      </c>
      <c r="X686" s="7">
        <f t="shared" si="211"/>
        <v>1.0391459074733098</v>
      </c>
      <c r="AA686" s="8">
        <f t="shared" si="212"/>
        <v>44927</v>
      </c>
      <c r="AB686" s="8">
        <f t="shared" si="213"/>
        <v>45291</v>
      </c>
      <c r="AC686" s="1">
        <v>1</v>
      </c>
      <c r="AD686" s="1">
        <f t="shared" si="214"/>
        <v>0</v>
      </c>
      <c r="AE686" s="1">
        <f t="shared" si="215"/>
        <v>0</v>
      </c>
      <c r="AF686" s="1">
        <f t="shared" si="216"/>
        <v>0</v>
      </c>
      <c r="AG686" s="1">
        <f t="shared" si="217"/>
        <v>0</v>
      </c>
      <c r="AH686" s="1">
        <f t="shared" si="218"/>
        <v>182.5</v>
      </c>
      <c r="AI686" s="5">
        <f t="shared" si="219"/>
        <v>0.5</v>
      </c>
      <c r="AJ686" s="5">
        <f t="shared" si="220"/>
        <v>0.51957295373665491</v>
      </c>
      <c r="AK686" s="5">
        <f t="shared" si="221"/>
        <v>0</v>
      </c>
      <c r="AL686" s="5">
        <f t="shared" si="222"/>
        <v>0</v>
      </c>
      <c r="AM686" s="5">
        <f t="shared" si="223"/>
        <v>0</v>
      </c>
      <c r="AN686" s="5">
        <f t="shared" si="224"/>
        <v>0</v>
      </c>
      <c r="AO686" s="1" t="s">
        <v>102</v>
      </c>
    </row>
    <row r="687" spans="1:41" x14ac:dyDescent="0.25">
      <c r="A687" s="1" t="s">
        <v>19</v>
      </c>
      <c r="B687" s="1" t="s">
        <v>37</v>
      </c>
      <c r="C687" s="1" t="s">
        <v>21</v>
      </c>
      <c r="D687" s="1" t="s">
        <v>39</v>
      </c>
      <c r="E687" s="1" t="s">
        <v>172</v>
      </c>
      <c r="F687" s="1" t="s">
        <v>534</v>
      </c>
      <c r="G687" s="1" t="s">
        <v>320</v>
      </c>
      <c r="H687" s="1" t="s">
        <v>321</v>
      </c>
      <c r="I687" s="1" t="s">
        <v>174</v>
      </c>
      <c r="J687" s="1" t="s">
        <v>101</v>
      </c>
      <c r="L687" s="1">
        <v>2031517</v>
      </c>
      <c r="M687" s="1" t="s">
        <v>896</v>
      </c>
      <c r="N687" s="8">
        <f>DATE(2015,8,3)</f>
        <v>42219</v>
      </c>
      <c r="O687" s="8">
        <f>DATE(2018,6,29)</f>
        <v>43280</v>
      </c>
      <c r="P687" s="1">
        <v>2980</v>
      </c>
      <c r="Q687" s="1">
        <v>3200</v>
      </c>
      <c r="R687" s="1">
        <f t="shared" si="207"/>
        <v>3200</v>
      </c>
      <c r="S687" s="1">
        <v>2.5</v>
      </c>
      <c r="U687" s="1">
        <f t="shared" si="208"/>
        <v>1062</v>
      </c>
      <c r="V687" s="7">
        <f t="shared" si="209"/>
        <v>2.8060263653483992</v>
      </c>
      <c r="W687" s="7">
        <f t="shared" si="210"/>
        <v>1024.1996233521656</v>
      </c>
      <c r="X687" s="7">
        <f t="shared" si="211"/>
        <v>1.280249529190207</v>
      </c>
      <c r="AA687" s="8">
        <f t="shared" si="212"/>
        <v>44927</v>
      </c>
      <c r="AB687" s="8">
        <f t="shared" si="213"/>
        <v>45291</v>
      </c>
      <c r="AC687" s="1">
        <v>1</v>
      </c>
      <c r="AD687" s="1">
        <f t="shared" si="214"/>
        <v>0</v>
      </c>
      <c r="AE687" s="1">
        <f t="shared" si="215"/>
        <v>0</v>
      </c>
      <c r="AF687" s="1">
        <f t="shared" si="216"/>
        <v>0</v>
      </c>
      <c r="AG687" s="1">
        <f t="shared" si="217"/>
        <v>0</v>
      </c>
      <c r="AH687" s="1">
        <f t="shared" si="218"/>
        <v>182.5</v>
      </c>
      <c r="AI687" s="5">
        <f t="shared" si="219"/>
        <v>0.5</v>
      </c>
      <c r="AJ687" s="5">
        <f t="shared" si="220"/>
        <v>0.64012476459510348</v>
      </c>
      <c r="AK687" s="5">
        <f t="shared" si="221"/>
        <v>0</v>
      </c>
      <c r="AL687" s="5">
        <f t="shared" si="222"/>
        <v>0</v>
      </c>
      <c r="AM687" s="5">
        <f t="shared" si="223"/>
        <v>0</v>
      </c>
      <c r="AN687" s="5">
        <f t="shared" si="224"/>
        <v>0</v>
      </c>
      <c r="AO687" s="1" t="s">
        <v>111</v>
      </c>
    </row>
    <row r="688" spans="1:41" x14ac:dyDescent="0.25">
      <c r="A688" s="1" t="s">
        <v>19</v>
      </c>
      <c r="B688" s="1" t="s">
        <v>37</v>
      </c>
      <c r="C688" s="1" t="s">
        <v>21</v>
      </c>
      <c r="D688" s="1" t="s">
        <v>39</v>
      </c>
      <c r="E688" s="1" t="s">
        <v>172</v>
      </c>
      <c r="F688" s="1" t="s">
        <v>534</v>
      </c>
      <c r="G688" s="1" t="s">
        <v>320</v>
      </c>
      <c r="H688" s="1" t="s">
        <v>321</v>
      </c>
      <c r="I688" s="1" t="s">
        <v>174</v>
      </c>
      <c r="J688" s="1" t="s">
        <v>101</v>
      </c>
      <c r="L688" s="1">
        <v>2031519</v>
      </c>
      <c r="M688" s="1" t="s">
        <v>896</v>
      </c>
      <c r="N688" s="8">
        <f>DATE(2015,8,3)</f>
        <v>42219</v>
      </c>
      <c r="O688" s="8">
        <f>DATE(2018,6,29)</f>
        <v>43280</v>
      </c>
      <c r="P688" s="1">
        <v>2980</v>
      </c>
      <c r="Q688" s="1">
        <v>3200</v>
      </c>
      <c r="R688" s="1">
        <f t="shared" si="207"/>
        <v>3200</v>
      </c>
      <c r="S688" s="1">
        <v>2.5</v>
      </c>
      <c r="U688" s="1">
        <f t="shared" si="208"/>
        <v>1062</v>
      </c>
      <c r="V688" s="7">
        <f t="shared" si="209"/>
        <v>2.8060263653483992</v>
      </c>
      <c r="W688" s="7">
        <f t="shared" si="210"/>
        <v>1024.1996233521656</v>
      </c>
      <c r="X688" s="7">
        <f t="shared" si="211"/>
        <v>1.280249529190207</v>
      </c>
      <c r="AA688" s="8">
        <f t="shared" si="212"/>
        <v>44927</v>
      </c>
      <c r="AB688" s="8">
        <f t="shared" si="213"/>
        <v>45291</v>
      </c>
      <c r="AC688" s="1">
        <v>2</v>
      </c>
      <c r="AD688" s="1">
        <f t="shared" si="214"/>
        <v>0</v>
      </c>
      <c r="AE688" s="1">
        <f t="shared" si="215"/>
        <v>0</v>
      </c>
      <c r="AF688" s="1">
        <f t="shared" si="216"/>
        <v>0</v>
      </c>
      <c r="AG688" s="1">
        <f t="shared" si="217"/>
        <v>0</v>
      </c>
      <c r="AH688" s="1">
        <f t="shared" si="218"/>
        <v>182.5</v>
      </c>
      <c r="AI688" s="5">
        <f t="shared" si="219"/>
        <v>0.5</v>
      </c>
      <c r="AJ688" s="5">
        <f t="shared" si="220"/>
        <v>0.64012476459510348</v>
      </c>
      <c r="AK688" s="5">
        <f t="shared" si="221"/>
        <v>0</v>
      </c>
      <c r="AL688" s="5">
        <f t="shared" si="222"/>
        <v>0</v>
      </c>
      <c r="AM688" s="5">
        <f t="shared" si="223"/>
        <v>0</v>
      </c>
      <c r="AN688" s="5">
        <f t="shared" si="224"/>
        <v>0</v>
      </c>
      <c r="AO688" s="1" t="s">
        <v>111</v>
      </c>
    </row>
    <row r="689" spans="1:41" x14ac:dyDescent="0.25">
      <c r="A689" s="1" t="s">
        <v>19</v>
      </c>
      <c r="B689" s="1" t="s">
        <v>37</v>
      </c>
      <c r="C689" s="1" t="s">
        <v>21</v>
      </c>
      <c r="D689" s="1" t="s">
        <v>39</v>
      </c>
      <c r="E689" s="1" t="s">
        <v>172</v>
      </c>
      <c r="F689" s="1" t="s">
        <v>534</v>
      </c>
      <c r="G689" s="1" t="s">
        <v>320</v>
      </c>
      <c r="H689" s="1" t="s">
        <v>321</v>
      </c>
      <c r="I689" s="1" t="s">
        <v>174</v>
      </c>
      <c r="J689" s="1" t="s">
        <v>101</v>
      </c>
      <c r="L689" s="1">
        <v>2031521</v>
      </c>
      <c r="M689" s="1" t="s">
        <v>896</v>
      </c>
      <c r="N689" s="8">
        <f>DATE(2015,8,3)</f>
        <v>42219</v>
      </c>
      <c r="O689" s="8">
        <f>DATE(2018,6,29)</f>
        <v>43280</v>
      </c>
      <c r="P689" s="1">
        <v>2980</v>
      </c>
      <c r="Q689" s="1">
        <v>3200</v>
      </c>
      <c r="R689" s="1">
        <f t="shared" si="207"/>
        <v>3200</v>
      </c>
      <c r="S689" s="1">
        <v>2.5</v>
      </c>
      <c r="U689" s="1">
        <f t="shared" si="208"/>
        <v>1062</v>
      </c>
      <c r="V689" s="7">
        <f t="shared" si="209"/>
        <v>2.8060263653483992</v>
      </c>
      <c r="W689" s="7">
        <f t="shared" si="210"/>
        <v>1024.1996233521656</v>
      </c>
      <c r="X689" s="7">
        <f t="shared" si="211"/>
        <v>1.280249529190207</v>
      </c>
      <c r="AA689" s="8">
        <f t="shared" si="212"/>
        <v>44927</v>
      </c>
      <c r="AB689" s="8">
        <f t="shared" si="213"/>
        <v>45291</v>
      </c>
      <c r="AC689" s="1">
        <v>0</v>
      </c>
      <c r="AD689" s="1">
        <f t="shared" si="214"/>
        <v>0</v>
      </c>
      <c r="AE689" s="1">
        <f t="shared" si="215"/>
        <v>0</v>
      </c>
      <c r="AF689" s="1">
        <f t="shared" si="216"/>
        <v>0</v>
      </c>
      <c r="AG689" s="1">
        <f t="shared" si="217"/>
        <v>0</v>
      </c>
      <c r="AH689" s="1">
        <f t="shared" si="218"/>
        <v>182.5</v>
      </c>
      <c r="AI689" s="5">
        <f t="shared" si="219"/>
        <v>0.5</v>
      </c>
      <c r="AJ689" s="5">
        <f t="shared" si="220"/>
        <v>0.64012476459510348</v>
      </c>
      <c r="AK689" s="5">
        <f t="shared" si="221"/>
        <v>0</v>
      </c>
      <c r="AL689" s="5">
        <f t="shared" si="222"/>
        <v>0</v>
      </c>
      <c r="AM689" s="5">
        <f t="shared" si="223"/>
        <v>0</v>
      </c>
      <c r="AN689" s="5">
        <f t="shared" si="224"/>
        <v>0</v>
      </c>
      <c r="AO689" s="1" t="s">
        <v>111</v>
      </c>
    </row>
    <row r="690" spans="1:41" x14ac:dyDescent="0.25">
      <c r="A690" s="1" t="s">
        <v>19</v>
      </c>
      <c r="B690" s="1" t="s">
        <v>37</v>
      </c>
      <c r="C690" s="1" t="s">
        <v>21</v>
      </c>
      <c r="D690" s="1" t="s">
        <v>39</v>
      </c>
      <c r="E690" s="1" t="s">
        <v>172</v>
      </c>
      <c r="F690" s="1" t="s">
        <v>534</v>
      </c>
      <c r="G690" s="1" t="s">
        <v>320</v>
      </c>
      <c r="H690" s="1" t="s">
        <v>321</v>
      </c>
      <c r="I690" s="1" t="s">
        <v>174</v>
      </c>
      <c r="J690" s="1" t="s">
        <v>101</v>
      </c>
      <c r="L690" s="1">
        <v>2031523</v>
      </c>
      <c r="M690" s="1" t="s">
        <v>896</v>
      </c>
      <c r="N690" s="8">
        <f>DATE(2015,8,3)</f>
        <v>42219</v>
      </c>
      <c r="O690" s="8">
        <f>DATE(2018,6,29)</f>
        <v>43280</v>
      </c>
      <c r="P690" s="1">
        <v>2980</v>
      </c>
      <c r="Q690" s="1">
        <v>3200</v>
      </c>
      <c r="R690" s="1">
        <f t="shared" si="207"/>
        <v>3200</v>
      </c>
      <c r="S690" s="1">
        <v>2.5</v>
      </c>
      <c r="U690" s="1">
        <f t="shared" si="208"/>
        <v>1062</v>
      </c>
      <c r="V690" s="7">
        <f t="shared" si="209"/>
        <v>2.8060263653483992</v>
      </c>
      <c r="W690" s="7">
        <f t="shared" si="210"/>
        <v>1024.1996233521656</v>
      </c>
      <c r="X690" s="7">
        <f t="shared" si="211"/>
        <v>1.280249529190207</v>
      </c>
      <c r="AA690" s="8">
        <f t="shared" si="212"/>
        <v>44927</v>
      </c>
      <c r="AB690" s="8">
        <f t="shared" si="213"/>
        <v>45291</v>
      </c>
      <c r="AC690" s="1">
        <v>0</v>
      </c>
      <c r="AD690" s="1">
        <f t="shared" si="214"/>
        <v>0</v>
      </c>
      <c r="AE690" s="1">
        <f t="shared" si="215"/>
        <v>0</v>
      </c>
      <c r="AF690" s="1">
        <f t="shared" si="216"/>
        <v>0</v>
      </c>
      <c r="AG690" s="1">
        <f t="shared" si="217"/>
        <v>0</v>
      </c>
      <c r="AH690" s="1">
        <f t="shared" si="218"/>
        <v>182.5</v>
      </c>
      <c r="AI690" s="5">
        <f t="shared" si="219"/>
        <v>0.5</v>
      </c>
      <c r="AJ690" s="5">
        <f t="shared" si="220"/>
        <v>0.64012476459510348</v>
      </c>
      <c r="AK690" s="5">
        <f t="shared" si="221"/>
        <v>0</v>
      </c>
      <c r="AL690" s="5">
        <f t="shared" si="222"/>
        <v>0</v>
      </c>
      <c r="AM690" s="5">
        <f t="shared" si="223"/>
        <v>0</v>
      </c>
      <c r="AN690" s="5">
        <f t="shared" si="224"/>
        <v>0</v>
      </c>
      <c r="AO690" s="1" t="s">
        <v>111</v>
      </c>
    </row>
    <row r="691" spans="1:41" x14ac:dyDescent="0.25">
      <c r="A691" s="1" t="s">
        <v>19</v>
      </c>
      <c r="B691" s="1" t="s">
        <v>37</v>
      </c>
      <c r="C691" s="1" t="s">
        <v>21</v>
      </c>
      <c r="D691" s="1" t="s">
        <v>39</v>
      </c>
      <c r="E691" s="1" t="s">
        <v>96</v>
      </c>
      <c r="F691" s="1" t="s">
        <v>103</v>
      </c>
      <c r="G691" s="1" t="s">
        <v>127</v>
      </c>
      <c r="H691" s="1" t="s">
        <v>872</v>
      </c>
      <c r="I691" s="1" t="s">
        <v>157</v>
      </c>
      <c r="J691" s="1" t="s">
        <v>101</v>
      </c>
      <c r="L691" s="1">
        <v>2003908</v>
      </c>
      <c r="M691" s="1" t="s">
        <v>897</v>
      </c>
      <c r="N691" s="8">
        <f>DATE(2015,10,26)</f>
        <v>42303</v>
      </c>
      <c r="O691" s="8">
        <f>DATE(2018,7,27)</f>
        <v>43308</v>
      </c>
      <c r="P691" s="1">
        <v>2160</v>
      </c>
      <c r="Q691" s="1">
        <v>1600</v>
      </c>
      <c r="R691" s="1">
        <f t="shared" si="207"/>
        <v>1600</v>
      </c>
      <c r="S691" s="1">
        <v>1</v>
      </c>
      <c r="U691" s="1">
        <f t="shared" si="208"/>
        <v>1006</v>
      </c>
      <c r="V691" s="7">
        <f t="shared" si="209"/>
        <v>1.5904572564612327</v>
      </c>
      <c r="W691" s="7">
        <f t="shared" si="210"/>
        <v>580.51689860834995</v>
      </c>
      <c r="X691" s="7">
        <f t="shared" si="211"/>
        <v>0.72564612326043743</v>
      </c>
      <c r="AA691" s="8">
        <f t="shared" si="212"/>
        <v>44927</v>
      </c>
      <c r="AB691" s="8">
        <f t="shared" si="213"/>
        <v>45291</v>
      </c>
      <c r="AC691" s="1">
        <v>2</v>
      </c>
      <c r="AD691" s="1">
        <f t="shared" si="214"/>
        <v>0</v>
      </c>
      <c r="AE691" s="1">
        <f t="shared" si="215"/>
        <v>0</v>
      </c>
      <c r="AF691" s="1">
        <f t="shared" si="216"/>
        <v>0</v>
      </c>
      <c r="AG691" s="1">
        <f t="shared" si="217"/>
        <v>0</v>
      </c>
      <c r="AH691" s="1">
        <f t="shared" si="218"/>
        <v>182.5</v>
      </c>
      <c r="AI691" s="5">
        <f t="shared" si="219"/>
        <v>0.5</v>
      </c>
      <c r="AJ691" s="5">
        <f t="shared" si="220"/>
        <v>0.36282306163021871</v>
      </c>
      <c r="AK691" s="5">
        <f t="shared" si="221"/>
        <v>0</v>
      </c>
      <c r="AL691" s="5">
        <f t="shared" si="222"/>
        <v>0</v>
      </c>
      <c r="AM691" s="5">
        <f t="shared" si="223"/>
        <v>0</v>
      </c>
      <c r="AN691" s="5">
        <f t="shared" si="224"/>
        <v>0</v>
      </c>
      <c r="AO691" s="1" t="s">
        <v>102</v>
      </c>
    </row>
    <row r="692" spans="1:41" x14ac:dyDescent="0.25">
      <c r="A692" s="1" t="s">
        <v>19</v>
      </c>
      <c r="B692" s="1" t="s">
        <v>37</v>
      </c>
      <c r="C692" s="1" t="s">
        <v>21</v>
      </c>
      <c r="D692" s="1" t="s">
        <v>39</v>
      </c>
      <c r="E692" s="1" t="s">
        <v>96</v>
      </c>
      <c r="F692" s="1" t="s">
        <v>103</v>
      </c>
      <c r="G692" s="1" t="s">
        <v>114</v>
      </c>
      <c r="H692" s="1" t="s">
        <v>254</v>
      </c>
      <c r="I692" s="1" t="s">
        <v>255</v>
      </c>
      <c r="J692" s="1" t="s">
        <v>101</v>
      </c>
      <c r="K692" s="1" t="s">
        <v>175</v>
      </c>
      <c r="L692" s="1">
        <v>2004026</v>
      </c>
      <c r="M692" s="1" t="s">
        <v>898</v>
      </c>
      <c r="N692" s="8">
        <f>DATE(2015,10,26)</f>
        <v>42303</v>
      </c>
      <c r="O692" s="8">
        <f>DATE(2017,7,28)</f>
        <v>42944</v>
      </c>
      <c r="P692" s="1">
        <v>1367</v>
      </c>
      <c r="Q692" s="1">
        <v>1200</v>
      </c>
      <c r="R692" s="1">
        <f t="shared" si="207"/>
        <v>1200</v>
      </c>
      <c r="S692" s="1">
        <v>2.5</v>
      </c>
      <c r="U692" s="1">
        <f t="shared" si="208"/>
        <v>642</v>
      </c>
      <c r="V692" s="7">
        <f t="shared" si="209"/>
        <v>1.8691588785046729</v>
      </c>
      <c r="W692" s="7">
        <f t="shared" si="210"/>
        <v>682.24299065420564</v>
      </c>
      <c r="X692" s="7">
        <f t="shared" si="211"/>
        <v>0.85280373831775702</v>
      </c>
      <c r="AA692" s="8">
        <f t="shared" si="212"/>
        <v>44927</v>
      </c>
      <c r="AB692" s="8">
        <f t="shared" si="213"/>
        <v>45291</v>
      </c>
      <c r="AC692" s="1">
        <v>0</v>
      </c>
      <c r="AD692" s="1">
        <f t="shared" si="214"/>
        <v>0</v>
      </c>
      <c r="AE692" s="1">
        <f t="shared" si="215"/>
        <v>0</v>
      </c>
      <c r="AF692" s="1">
        <f t="shared" si="216"/>
        <v>0</v>
      </c>
      <c r="AG692" s="1">
        <f t="shared" si="217"/>
        <v>0</v>
      </c>
      <c r="AH692" s="1">
        <f t="shared" si="218"/>
        <v>182.5</v>
      </c>
      <c r="AI692" s="5">
        <f t="shared" si="219"/>
        <v>0.5</v>
      </c>
      <c r="AJ692" s="5">
        <f t="shared" si="220"/>
        <v>0.42640186915887851</v>
      </c>
      <c r="AK692" s="5">
        <f t="shared" si="221"/>
        <v>0</v>
      </c>
      <c r="AL692" s="5">
        <f t="shared" si="222"/>
        <v>0</v>
      </c>
      <c r="AM692" s="5">
        <f t="shared" si="223"/>
        <v>0</v>
      </c>
      <c r="AN692" s="5">
        <f t="shared" si="224"/>
        <v>0</v>
      </c>
      <c r="AO692" s="1" t="s">
        <v>102</v>
      </c>
    </row>
    <row r="693" spans="1:41" x14ac:dyDescent="0.25">
      <c r="A693" s="1" t="s">
        <v>19</v>
      </c>
      <c r="B693" s="1" t="s">
        <v>37</v>
      </c>
      <c r="C693" s="1" t="s">
        <v>21</v>
      </c>
      <c r="D693" s="1" t="s">
        <v>39</v>
      </c>
      <c r="E693" s="1" t="s">
        <v>96</v>
      </c>
      <c r="F693" s="1" t="s">
        <v>103</v>
      </c>
      <c r="G693" s="1" t="s">
        <v>98</v>
      </c>
      <c r="H693" s="1" t="s">
        <v>878</v>
      </c>
      <c r="I693" s="1" t="s">
        <v>255</v>
      </c>
      <c r="J693" s="1" t="s">
        <v>101</v>
      </c>
      <c r="L693" s="1">
        <v>2021022</v>
      </c>
      <c r="M693" s="1" t="s">
        <v>899</v>
      </c>
      <c r="N693" s="8">
        <f>DATE(2016,4,4)</f>
        <v>42464</v>
      </c>
      <c r="O693" s="8">
        <f>DATE(2020,12,18)</f>
        <v>44183</v>
      </c>
      <c r="P693" s="1">
        <v>4020</v>
      </c>
      <c r="Q693" s="1">
        <v>3600</v>
      </c>
      <c r="R693" s="1">
        <f t="shared" si="207"/>
        <v>3600</v>
      </c>
      <c r="S693" s="1">
        <v>2.5</v>
      </c>
      <c r="U693" s="1">
        <f t="shared" si="208"/>
        <v>1720</v>
      </c>
      <c r="V693" s="7">
        <f t="shared" si="209"/>
        <v>2.0930232558139537</v>
      </c>
      <c r="W693" s="7">
        <f t="shared" si="210"/>
        <v>763.95348837209303</v>
      </c>
      <c r="X693" s="7">
        <f t="shared" si="211"/>
        <v>0.95494186046511631</v>
      </c>
      <c r="AA693" s="8">
        <f t="shared" si="212"/>
        <v>44927</v>
      </c>
      <c r="AB693" s="8">
        <f t="shared" si="213"/>
        <v>45291</v>
      </c>
      <c r="AC693" s="1">
        <v>1</v>
      </c>
      <c r="AD693" s="1">
        <f t="shared" si="214"/>
        <v>0</v>
      </c>
      <c r="AE693" s="1">
        <f t="shared" si="215"/>
        <v>0</v>
      </c>
      <c r="AF693" s="1">
        <f t="shared" si="216"/>
        <v>0</v>
      </c>
      <c r="AG693" s="1">
        <f t="shared" si="217"/>
        <v>0</v>
      </c>
      <c r="AH693" s="1">
        <f t="shared" si="218"/>
        <v>182.5</v>
      </c>
      <c r="AI693" s="5">
        <f t="shared" si="219"/>
        <v>0.5</v>
      </c>
      <c r="AJ693" s="5">
        <f t="shared" si="220"/>
        <v>0.47747093023255816</v>
      </c>
      <c r="AK693" s="5">
        <f t="shared" si="221"/>
        <v>0.23873546511627908</v>
      </c>
      <c r="AL693" s="5">
        <f t="shared" si="222"/>
        <v>0.59683866279069764</v>
      </c>
      <c r="AM693" s="5">
        <f t="shared" si="223"/>
        <v>0</v>
      </c>
      <c r="AN693" s="5">
        <f t="shared" si="224"/>
        <v>0.59683866279069764</v>
      </c>
      <c r="AO693" s="1" t="s">
        <v>102</v>
      </c>
    </row>
    <row r="694" spans="1:41" x14ac:dyDescent="0.25">
      <c r="A694" s="1" t="s">
        <v>19</v>
      </c>
      <c r="B694" s="1" t="s">
        <v>37</v>
      </c>
      <c r="C694" s="1" t="s">
        <v>21</v>
      </c>
      <c r="D694" s="1" t="s">
        <v>39</v>
      </c>
      <c r="E694" s="1" t="s">
        <v>172</v>
      </c>
      <c r="F694" s="1" t="s">
        <v>534</v>
      </c>
      <c r="G694" s="1" t="s">
        <v>320</v>
      </c>
      <c r="H694" s="1" t="s">
        <v>321</v>
      </c>
      <c r="I694" s="1" t="s">
        <v>174</v>
      </c>
      <c r="J694" s="1" t="s">
        <v>101</v>
      </c>
      <c r="L694" s="1">
        <v>2030850</v>
      </c>
      <c r="M694" s="1" t="s">
        <v>900</v>
      </c>
      <c r="N694" s="8">
        <f>DATE(2016,7,25)</f>
        <v>42576</v>
      </c>
      <c r="O694" s="8">
        <f>DATE(2019,6,28)</f>
        <v>43644</v>
      </c>
      <c r="P694" s="1">
        <v>2980</v>
      </c>
      <c r="Q694" s="1">
        <v>3200</v>
      </c>
      <c r="R694" s="1">
        <f t="shared" si="207"/>
        <v>3200</v>
      </c>
      <c r="S694" s="1">
        <v>2.5</v>
      </c>
      <c r="U694" s="1">
        <f t="shared" si="208"/>
        <v>1069</v>
      </c>
      <c r="V694" s="7">
        <f t="shared" si="209"/>
        <v>2.7876520112254441</v>
      </c>
      <c r="W694" s="7">
        <f t="shared" si="210"/>
        <v>1017.4929840972871</v>
      </c>
      <c r="X694" s="7">
        <f t="shared" si="211"/>
        <v>1.271866230121609</v>
      </c>
      <c r="AA694" s="8">
        <f t="shared" si="212"/>
        <v>44927</v>
      </c>
      <c r="AB694" s="8">
        <f t="shared" si="213"/>
        <v>45291</v>
      </c>
      <c r="AC694" s="1">
        <v>3</v>
      </c>
      <c r="AD694" s="1">
        <f t="shared" si="214"/>
        <v>0</v>
      </c>
      <c r="AE694" s="1">
        <f t="shared" si="215"/>
        <v>0</v>
      </c>
      <c r="AF694" s="1">
        <f t="shared" si="216"/>
        <v>0</v>
      </c>
      <c r="AG694" s="1">
        <f t="shared" si="217"/>
        <v>0</v>
      </c>
      <c r="AH694" s="1">
        <f t="shared" si="218"/>
        <v>182.5</v>
      </c>
      <c r="AI694" s="5">
        <f t="shared" si="219"/>
        <v>0.5</v>
      </c>
      <c r="AJ694" s="5">
        <f t="shared" si="220"/>
        <v>0.63593311506080452</v>
      </c>
      <c r="AK694" s="5">
        <f t="shared" si="221"/>
        <v>0</v>
      </c>
      <c r="AL694" s="5">
        <f t="shared" si="222"/>
        <v>0</v>
      </c>
      <c r="AM694" s="5">
        <f t="shared" si="223"/>
        <v>0</v>
      </c>
      <c r="AN694" s="5">
        <f t="shared" si="224"/>
        <v>0</v>
      </c>
      <c r="AO694" s="1" t="s">
        <v>111</v>
      </c>
    </row>
    <row r="695" spans="1:41" x14ac:dyDescent="0.25">
      <c r="A695" s="1" t="s">
        <v>19</v>
      </c>
      <c r="B695" s="1" t="s">
        <v>37</v>
      </c>
      <c r="C695" s="1" t="s">
        <v>21</v>
      </c>
      <c r="D695" s="1" t="s">
        <v>39</v>
      </c>
      <c r="E695" s="1" t="s">
        <v>96</v>
      </c>
      <c r="F695" s="1" t="s">
        <v>103</v>
      </c>
      <c r="G695" s="1" t="s">
        <v>114</v>
      </c>
      <c r="H695" s="1" t="s">
        <v>254</v>
      </c>
      <c r="I695" s="1" t="s">
        <v>255</v>
      </c>
      <c r="J695" s="1" t="s">
        <v>101</v>
      </c>
      <c r="K695" s="1" t="s">
        <v>175</v>
      </c>
      <c r="L695" s="1">
        <v>2073504</v>
      </c>
      <c r="M695" s="1" t="s">
        <v>901</v>
      </c>
      <c r="N695" s="8">
        <f>DATE(2016,8,24)</f>
        <v>42606</v>
      </c>
      <c r="O695" s="8">
        <f>DATE(2018,7,27)</f>
        <v>43308</v>
      </c>
      <c r="P695" s="1">
        <v>1367</v>
      </c>
      <c r="Q695" s="1">
        <v>1200</v>
      </c>
      <c r="R695" s="1">
        <f t="shared" si="207"/>
        <v>1200</v>
      </c>
      <c r="S695" s="1">
        <v>2.5</v>
      </c>
      <c r="U695" s="1">
        <f t="shared" si="208"/>
        <v>703</v>
      </c>
      <c r="V695" s="7">
        <f t="shared" si="209"/>
        <v>1.7069701280227596</v>
      </c>
      <c r="W695" s="7">
        <f t="shared" si="210"/>
        <v>623.0440967283073</v>
      </c>
      <c r="X695" s="7">
        <f t="shared" si="211"/>
        <v>0.77880512091038412</v>
      </c>
      <c r="AA695" s="8">
        <f t="shared" si="212"/>
        <v>44927</v>
      </c>
      <c r="AB695" s="8">
        <f t="shared" si="213"/>
        <v>45291</v>
      </c>
      <c r="AC695" s="1">
        <v>0</v>
      </c>
      <c r="AD695" s="1">
        <f t="shared" si="214"/>
        <v>0</v>
      </c>
      <c r="AE695" s="1">
        <f t="shared" si="215"/>
        <v>0</v>
      </c>
      <c r="AF695" s="1">
        <f t="shared" si="216"/>
        <v>0</v>
      </c>
      <c r="AG695" s="1">
        <f t="shared" si="217"/>
        <v>0</v>
      </c>
      <c r="AH695" s="1">
        <f t="shared" si="218"/>
        <v>182.5</v>
      </c>
      <c r="AI695" s="5">
        <f t="shared" si="219"/>
        <v>0.5</v>
      </c>
      <c r="AJ695" s="5">
        <f t="shared" si="220"/>
        <v>0.38940256045519206</v>
      </c>
      <c r="AK695" s="5">
        <f t="shared" si="221"/>
        <v>0</v>
      </c>
      <c r="AL695" s="5">
        <f t="shared" si="222"/>
        <v>0</v>
      </c>
      <c r="AM695" s="5">
        <f t="shared" si="223"/>
        <v>0</v>
      </c>
      <c r="AN695" s="5">
        <f t="shared" si="224"/>
        <v>0</v>
      </c>
      <c r="AO695" s="1" t="s">
        <v>102</v>
      </c>
    </row>
    <row r="696" spans="1:41" x14ac:dyDescent="0.25">
      <c r="A696" s="1" t="s">
        <v>19</v>
      </c>
      <c r="B696" s="1" t="s">
        <v>37</v>
      </c>
      <c r="C696" s="1" t="s">
        <v>21</v>
      </c>
      <c r="D696" s="1" t="s">
        <v>39</v>
      </c>
      <c r="E696" s="1" t="s">
        <v>96</v>
      </c>
      <c r="F696" s="1" t="s">
        <v>103</v>
      </c>
      <c r="G696" s="1" t="s">
        <v>98</v>
      </c>
      <c r="H696" s="1" t="s">
        <v>878</v>
      </c>
      <c r="I696" s="1" t="s">
        <v>255</v>
      </c>
      <c r="J696" s="1" t="s">
        <v>101</v>
      </c>
      <c r="L696" s="1">
        <v>2073534</v>
      </c>
      <c r="M696" s="1" t="s">
        <v>902</v>
      </c>
      <c r="N696" s="8">
        <f>DATE(2016,8,24)</f>
        <v>42606</v>
      </c>
      <c r="O696" s="8">
        <f>DATE(2021,7,30)</f>
        <v>44407</v>
      </c>
      <c r="P696" s="1">
        <v>4020</v>
      </c>
      <c r="Q696" s="1">
        <v>3600</v>
      </c>
      <c r="R696" s="1">
        <f t="shared" si="207"/>
        <v>3600</v>
      </c>
      <c r="S696" s="1">
        <v>2.5</v>
      </c>
      <c r="U696" s="1">
        <f t="shared" si="208"/>
        <v>1802</v>
      </c>
      <c r="V696" s="7">
        <f t="shared" si="209"/>
        <v>1.9977802441731409</v>
      </c>
      <c r="W696" s="7">
        <f t="shared" si="210"/>
        <v>729.18978912319642</v>
      </c>
      <c r="X696" s="7">
        <f t="shared" si="211"/>
        <v>0.91148723640399554</v>
      </c>
      <c r="AA696" s="8">
        <f t="shared" si="212"/>
        <v>44927</v>
      </c>
      <c r="AB696" s="8">
        <f t="shared" si="213"/>
        <v>45291</v>
      </c>
      <c r="AC696" s="1">
        <v>3</v>
      </c>
      <c r="AD696" s="1">
        <f t="shared" si="214"/>
        <v>0</v>
      </c>
      <c r="AE696" s="1">
        <f t="shared" si="215"/>
        <v>0</v>
      </c>
      <c r="AF696" s="1">
        <f t="shared" si="216"/>
        <v>0</v>
      </c>
      <c r="AG696" s="1">
        <f t="shared" si="217"/>
        <v>0</v>
      </c>
      <c r="AH696" s="1">
        <f t="shared" si="218"/>
        <v>182.5</v>
      </c>
      <c r="AI696" s="5">
        <f t="shared" si="219"/>
        <v>0.5</v>
      </c>
      <c r="AJ696" s="5">
        <f t="shared" si="220"/>
        <v>0.45574361820199777</v>
      </c>
      <c r="AK696" s="5">
        <f t="shared" si="221"/>
        <v>0.68361542730299663</v>
      </c>
      <c r="AL696" s="5">
        <f t="shared" si="222"/>
        <v>1.7090385682574916</v>
      </c>
      <c r="AM696" s="5">
        <f t="shared" si="223"/>
        <v>0</v>
      </c>
      <c r="AN696" s="5">
        <f t="shared" si="224"/>
        <v>1.7090385682574916</v>
      </c>
      <c r="AO696" s="1" t="s">
        <v>102</v>
      </c>
    </row>
    <row r="697" spans="1:41" x14ac:dyDescent="0.25">
      <c r="A697" s="1" t="s">
        <v>19</v>
      </c>
      <c r="B697" s="1" t="s">
        <v>37</v>
      </c>
      <c r="C697" s="1" t="s">
        <v>21</v>
      </c>
      <c r="D697" s="1" t="s">
        <v>39</v>
      </c>
      <c r="E697" s="1" t="s">
        <v>96</v>
      </c>
      <c r="F697" s="1" t="s">
        <v>103</v>
      </c>
      <c r="G697" s="1" t="s">
        <v>127</v>
      </c>
      <c r="H697" s="1" t="s">
        <v>872</v>
      </c>
      <c r="I697" s="1" t="s">
        <v>157</v>
      </c>
      <c r="J697" s="1" t="s">
        <v>101</v>
      </c>
      <c r="L697" s="1">
        <v>2073539</v>
      </c>
      <c r="M697" s="1" t="s">
        <v>903</v>
      </c>
      <c r="N697" s="8">
        <f>DATE(2016,8,24)</f>
        <v>42606</v>
      </c>
      <c r="O697" s="8">
        <f>DATE(2019,7,26)</f>
        <v>43672</v>
      </c>
      <c r="P697" s="1">
        <v>2160</v>
      </c>
      <c r="Q697" s="1">
        <v>1600</v>
      </c>
      <c r="R697" s="1">
        <f t="shared" si="207"/>
        <v>1600</v>
      </c>
      <c r="S697" s="1">
        <v>1</v>
      </c>
      <c r="U697" s="1">
        <f t="shared" si="208"/>
        <v>1067</v>
      </c>
      <c r="V697" s="7">
        <f t="shared" si="209"/>
        <v>1.499531396438613</v>
      </c>
      <c r="W697" s="7">
        <f t="shared" si="210"/>
        <v>547.32895970009372</v>
      </c>
      <c r="X697" s="7">
        <f t="shared" si="211"/>
        <v>0.68416119962511712</v>
      </c>
      <c r="AA697" s="8">
        <f t="shared" si="212"/>
        <v>44927</v>
      </c>
      <c r="AB697" s="8">
        <f t="shared" si="213"/>
        <v>45291</v>
      </c>
      <c r="AC697" s="1">
        <v>1</v>
      </c>
      <c r="AD697" s="1">
        <f t="shared" si="214"/>
        <v>0</v>
      </c>
      <c r="AE697" s="1">
        <f t="shared" si="215"/>
        <v>0</v>
      </c>
      <c r="AF697" s="1">
        <f t="shared" si="216"/>
        <v>0</v>
      </c>
      <c r="AG697" s="1">
        <f t="shared" si="217"/>
        <v>0</v>
      </c>
      <c r="AH697" s="1">
        <f t="shared" si="218"/>
        <v>182.5</v>
      </c>
      <c r="AI697" s="5">
        <f t="shared" si="219"/>
        <v>0.5</v>
      </c>
      <c r="AJ697" s="5">
        <f t="shared" si="220"/>
        <v>0.34208059981255856</v>
      </c>
      <c r="AK697" s="5">
        <f t="shared" si="221"/>
        <v>0</v>
      </c>
      <c r="AL697" s="5">
        <f t="shared" si="222"/>
        <v>0</v>
      </c>
      <c r="AM697" s="5">
        <f t="shared" si="223"/>
        <v>0</v>
      </c>
      <c r="AN697" s="5">
        <f t="shared" si="224"/>
        <v>0</v>
      </c>
      <c r="AO697" s="1" t="s">
        <v>102</v>
      </c>
    </row>
    <row r="698" spans="1:41" x14ac:dyDescent="0.25">
      <c r="A698" s="1" t="s">
        <v>19</v>
      </c>
      <c r="B698" s="1" t="s">
        <v>37</v>
      </c>
      <c r="C698" s="1" t="s">
        <v>21</v>
      </c>
      <c r="D698" s="1" t="s">
        <v>39</v>
      </c>
      <c r="E698" s="1" t="s">
        <v>96</v>
      </c>
      <c r="F698" s="1" t="s">
        <v>103</v>
      </c>
      <c r="G698" s="1" t="s">
        <v>114</v>
      </c>
      <c r="H698" s="1" t="s">
        <v>892</v>
      </c>
      <c r="I698" s="1" t="s">
        <v>194</v>
      </c>
      <c r="J698" s="1" t="s">
        <v>101</v>
      </c>
      <c r="K698" s="1" t="s">
        <v>116</v>
      </c>
      <c r="L698" s="1">
        <v>2092760</v>
      </c>
      <c r="M698" s="1" t="s">
        <v>904</v>
      </c>
      <c r="N698" s="8">
        <f>DATE(2016,8,24)</f>
        <v>42606</v>
      </c>
      <c r="O698" s="8">
        <f>DATE(2019,7,26)</f>
        <v>43672</v>
      </c>
      <c r="P698" s="1">
        <v>3912</v>
      </c>
      <c r="Q698" s="1">
        <v>1200</v>
      </c>
      <c r="R698" s="1">
        <f t="shared" si="207"/>
        <v>3200</v>
      </c>
      <c r="S698" s="1">
        <v>2.5</v>
      </c>
      <c r="U698" s="1">
        <f t="shared" si="208"/>
        <v>1067</v>
      </c>
      <c r="V698" s="7">
        <f t="shared" si="209"/>
        <v>2.999062792877226</v>
      </c>
      <c r="W698" s="7">
        <f t="shared" si="210"/>
        <v>1094.6579194001874</v>
      </c>
      <c r="X698" s="7">
        <f t="shared" si="211"/>
        <v>1.3683223992502342</v>
      </c>
      <c r="AA698" s="8">
        <f t="shared" si="212"/>
        <v>44927</v>
      </c>
      <c r="AB698" s="8">
        <f t="shared" si="213"/>
        <v>45291</v>
      </c>
      <c r="AC698" s="1">
        <v>0</v>
      </c>
      <c r="AD698" s="1">
        <f t="shared" si="214"/>
        <v>0</v>
      </c>
      <c r="AE698" s="1">
        <f t="shared" si="215"/>
        <v>0</v>
      </c>
      <c r="AF698" s="1">
        <f t="shared" si="216"/>
        <v>0</v>
      </c>
      <c r="AG698" s="1">
        <f t="shared" si="217"/>
        <v>0</v>
      </c>
      <c r="AH698" s="1">
        <f t="shared" si="218"/>
        <v>182.5</v>
      </c>
      <c r="AI698" s="5">
        <f t="shared" si="219"/>
        <v>0.5</v>
      </c>
      <c r="AJ698" s="5">
        <f t="shared" si="220"/>
        <v>0.68416119962511712</v>
      </c>
      <c r="AK698" s="5">
        <f t="shared" si="221"/>
        <v>0</v>
      </c>
      <c r="AL698" s="5">
        <f t="shared" si="222"/>
        <v>0</v>
      </c>
      <c r="AM698" s="5">
        <f t="shared" si="223"/>
        <v>0</v>
      </c>
      <c r="AN698" s="5">
        <f t="shared" si="224"/>
        <v>0</v>
      </c>
      <c r="AO698" s="1" t="s">
        <v>102</v>
      </c>
    </row>
    <row r="699" spans="1:41" x14ac:dyDescent="0.25">
      <c r="A699" s="1" t="s">
        <v>19</v>
      </c>
      <c r="B699" s="1" t="s">
        <v>37</v>
      </c>
      <c r="C699" s="1" t="s">
        <v>21</v>
      </c>
      <c r="D699" s="1" t="s">
        <v>39</v>
      </c>
      <c r="E699" s="1" t="s">
        <v>172</v>
      </c>
      <c r="F699" s="1" t="s">
        <v>534</v>
      </c>
      <c r="G699" s="1" t="s">
        <v>320</v>
      </c>
      <c r="H699" s="1" t="s">
        <v>321</v>
      </c>
      <c r="I699" s="1" t="s">
        <v>174</v>
      </c>
      <c r="J699" s="1" t="s">
        <v>101</v>
      </c>
      <c r="L699" s="1">
        <v>2103776</v>
      </c>
      <c r="M699" s="1" t="s">
        <v>905</v>
      </c>
      <c r="N699" s="8">
        <f>DATE(2016,10,3)</f>
        <v>42646</v>
      </c>
      <c r="O699" s="8">
        <f>DATE(2019,6,28)</f>
        <v>43644</v>
      </c>
      <c r="P699" s="1">
        <v>2980</v>
      </c>
      <c r="Q699" s="1">
        <v>3200</v>
      </c>
      <c r="R699" s="1">
        <f t="shared" ref="R699:R762" si="227">IF(OR(G699="QUALIFICACAO PROFISSIONAL (FIC)",G699="DOUTORADO"),P699,
    IF(ISNUMBER(FIND("PROEJA",K699)),2400,
        IF(K699="INTEGRADO",
            IF(Q699=800,3000,
                IF(Q699=1000,3100,
                    IF(Q699=1200,3200,Q699)
                )
            ),
            Q699
        )
    )
)</f>
        <v>3200</v>
      </c>
      <c r="S699" s="1">
        <v>2.5</v>
      </c>
      <c r="U699" s="1">
        <f t="shared" ref="U699:U762" si="228">O699-N699+1</f>
        <v>999</v>
      </c>
      <c r="V699" s="7">
        <f t="shared" ref="V699:V762" si="229">IF(R699&gt;P699,P699,R699)/U699</f>
        <v>2.9829829829829828</v>
      </c>
      <c r="W699" s="7">
        <f t="shared" ref="W699:W762" si="230">IF(U699&gt;365,V699*365,R699)</f>
        <v>1088.7887887887887</v>
      </c>
      <c r="X699" s="7">
        <f t="shared" ref="X699:X762" si="231">IF(U699&gt;365,W699/800,R699/800)</f>
        <v>1.3609859859859859</v>
      </c>
      <c r="AA699" s="8">
        <f t="shared" ref="AA699:AA762" si="232">DATE(2023,1,1)</f>
        <v>44927</v>
      </c>
      <c r="AB699" s="8">
        <f t="shared" ref="AB699:AB762" si="233">DATE(2023,12,31)</f>
        <v>45291</v>
      </c>
      <c r="AC699" s="1">
        <v>0</v>
      </c>
      <c r="AD699" s="1">
        <f t="shared" ref="AD699:AD762" si="234">IF(AND(N699&lt;AA699,O699&gt;AB699),AB699-AA699+1,0)</f>
        <v>0</v>
      </c>
      <c r="AE699" s="1">
        <f t="shared" ref="AE699:AE762" si="235">IF(AND(N699&gt;=AA699,O699&gt;AB699,N699&lt;AB699),AB699-N699+1,0)</f>
        <v>0</v>
      </c>
      <c r="AF699" s="1">
        <f t="shared" ref="AF699:AF762" si="236">IF(AND(N699&lt;AA699,O699&lt;=AB699,O699&gt;=AA699),O699-AA699+1,0)</f>
        <v>0</v>
      </c>
      <c r="AG699" s="1">
        <f t="shared" ref="AG699:AG762" si="237">IF(AND(N699&gt;=AA699,O699&lt;=AB699),O699-N699+1,0)</f>
        <v>0</v>
      </c>
      <c r="AH699" s="1">
        <f t="shared" ref="AH699:AH762" si="238">IF(AND(N699&lt;AA699,O699&lt;AA699),(AB699-AA699+1)/2,0)</f>
        <v>182.5</v>
      </c>
      <c r="AI699" s="5">
        <f t="shared" ref="AI699:AI762" si="239">SUM(AD699:AH699)/IF(U699&gt;=365,AB699-AA699+1,U699)</f>
        <v>0.5</v>
      </c>
      <c r="AJ699" s="5">
        <f t="shared" ref="AJ699:AJ762" si="240">X699*AI699</f>
        <v>0.68049299299299293</v>
      </c>
      <c r="AK699" s="5">
        <f t="shared" ref="AK699:AK762" si="241">IF(AH699=0,AJ699*AC699,IF(AA699-O699&gt;1095,0,AJ699*(AC699/2)))</f>
        <v>0</v>
      </c>
      <c r="AL699" s="5">
        <f t="shared" ref="AL699:AL762" si="242">AK699*S699</f>
        <v>0</v>
      </c>
      <c r="AM699" s="5">
        <f t="shared" ref="AM699:AM762" si="243">IF(J699="SIM",AL699*50%,0)</f>
        <v>0</v>
      </c>
      <c r="AN699" s="5">
        <f t="shared" ref="AN699:AN762" si="244">AL699+AM699</f>
        <v>0</v>
      </c>
      <c r="AO699" s="1" t="s">
        <v>111</v>
      </c>
    </row>
    <row r="700" spans="1:41" x14ac:dyDescent="0.25">
      <c r="A700" s="1" t="s">
        <v>19</v>
      </c>
      <c r="B700" s="1" t="s">
        <v>37</v>
      </c>
      <c r="C700" s="1" t="s">
        <v>21</v>
      </c>
      <c r="D700" s="1" t="s">
        <v>39</v>
      </c>
      <c r="E700" s="1" t="s">
        <v>172</v>
      </c>
      <c r="F700" s="1" t="s">
        <v>534</v>
      </c>
      <c r="G700" s="1" t="s">
        <v>320</v>
      </c>
      <c r="H700" s="1" t="s">
        <v>321</v>
      </c>
      <c r="I700" s="1" t="s">
        <v>174</v>
      </c>
      <c r="J700" s="1" t="s">
        <v>101</v>
      </c>
      <c r="L700" s="1">
        <v>2103777</v>
      </c>
      <c r="M700" s="1" t="s">
        <v>905</v>
      </c>
      <c r="N700" s="8">
        <f>DATE(2016,10,3)</f>
        <v>42646</v>
      </c>
      <c r="O700" s="8">
        <f>DATE(2019,6,28)</f>
        <v>43644</v>
      </c>
      <c r="P700" s="1">
        <v>2980</v>
      </c>
      <c r="Q700" s="1">
        <v>3200</v>
      </c>
      <c r="R700" s="1">
        <f t="shared" si="227"/>
        <v>3200</v>
      </c>
      <c r="S700" s="1">
        <v>2.5</v>
      </c>
      <c r="U700" s="1">
        <f t="shared" si="228"/>
        <v>999</v>
      </c>
      <c r="V700" s="7">
        <f t="shared" si="229"/>
        <v>2.9829829829829828</v>
      </c>
      <c r="W700" s="7">
        <f t="shared" si="230"/>
        <v>1088.7887887887887</v>
      </c>
      <c r="X700" s="7">
        <f t="shared" si="231"/>
        <v>1.3609859859859859</v>
      </c>
      <c r="AA700" s="8">
        <f t="shared" si="232"/>
        <v>44927</v>
      </c>
      <c r="AB700" s="8">
        <f t="shared" si="233"/>
        <v>45291</v>
      </c>
      <c r="AC700" s="1">
        <v>0</v>
      </c>
      <c r="AD700" s="1">
        <f t="shared" si="234"/>
        <v>0</v>
      </c>
      <c r="AE700" s="1">
        <f t="shared" si="235"/>
        <v>0</v>
      </c>
      <c r="AF700" s="1">
        <f t="shared" si="236"/>
        <v>0</v>
      </c>
      <c r="AG700" s="1">
        <f t="shared" si="237"/>
        <v>0</v>
      </c>
      <c r="AH700" s="1">
        <f t="shared" si="238"/>
        <v>182.5</v>
      </c>
      <c r="AI700" s="5">
        <f t="shared" si="239"/>
        <v>0.5</v>
      </c>
      <c r="AJ700" s="5">
        <f t="shared" si="240"/>
        <v>0.68049299299299293</v>
      </c>
      <c r="AK700" s="5">
        <f t="shared" si="241"/>
        <v>0</v>
      </c>
      <c r="AL700" s="5">
        <f t="shared" si="242"/>
        <v>0</v>
      </c>
      <c r="AM700" s="5">
        <f t="shared" si="243"/>
        <v>0</v>
      </c>
      <c r="AN700" s="5">
        <f t="shared" si="244"/>
        <v>0</v>
      </c>
      <c r="AO700" s="1" t="s">
        <v>111</v>
      </c>
    </row>
    <row r="701" spans="1:41" x14ac:dyDescent="0.25">
      <c r="A701" s="1" t="s">
        <v>19</v>
      </c>
      <c r="B701" s="1" t="s">
        <v>37</v>
      </c>
      <c r="C701" s="1" t="s">
        <v>21</v>
      </c>
      <c r="D701" s="1" t="s">
        <v>39</v>
      </c>
      <c r="E701" s="1" t="s">
        <v>96</v>
      </c>
      <c r="F701" s="1" t="s">
        <v>103</v>
      </c>
      <c r="G701" s="1" t="s">
        <v>98</v>
      </c>
      <c r="H701" s="1" t="s">
        <v>878</v>
      </c>
      <c r="I701" s="1" t="s">
        <v>255</v>
      </c>
      <c r="J701" s="1" t="s">
        <v>101</v>
      </c>
      <c r="L701" s="1">
        <v>2134850</v>
      </c>
      <c r="M701" s="1" t="s">
        <v>906</v>
      </c>
      <c r="N701" s="8">
        <f t="shared" ref="N701:N725" si="245">DATE(2017,3,2)</f>
        <v>42796</v>
      </c>
      <c r="O701" s="8">
        <f>DATE(2021,12,17)</f>
        <v>44547</v>
      </c>
      <c r="P701" s="1">
        <v>4020</v>
      </c>
      <c r="Q701" s="1">
        <v>3600</v>
      </c>
      <c r="R701" s="1">
        <f t="shared" si="227"/>
        <v>3600</v>
      </c>
      <c r="S701" s="1">
        <v>2.5</v>
      </c>
      <c r="U701" s="1">
        <f t="shared" si="228"/>
        <v>1752</v>
      </c>
      <c r="V701" s="7">
        <f t="shared" si="229"/>
        <v>2.0547945205479454</v>
      </c>
      <c r="W701" s="7">
        <f t="shared" si="230"/>
        <v>750.00000000000011</v>
      </c>
      <c r="X701" s="7">
        <f t="shared" si="231"/>
        <v>0.93750000000000011</v>
      </c>
      <c r="AA701" s="8">
        <f t="shared" si="232"/>
        <v>44927</v>
      </c>
      <c r="AB701" s="8">
        <f t="shared" si="233"/>
        <v>45291</v>
      </c>
      <c r="AC701" s="1">
        <v>6</v>
      </c>
      <c r="AD701" s="1">
        <f t="shared" si="234"/>
        <v>0</v>
      </c>
      <c r="AE701" s="1">
        <f t="shared" si="235"/>
        <v>0</v>
      </c>
      <c r="AF701" s="1">
        <f t="shared" si="236"/>
        <v>0</v>
      </c>
      <c r="AG701" s="1">
        <f t="shared" si="237"/>
        <v>0</v>
      </c>
      <c r="AH701" s="1">
        <f t="shared" si="238"/>
        <v>182.5</v>
      </c>
      <c r="AI701" s="5">
        <f t="shared" si="239"/>
        <v>0.5</v>
      </c>
      <c r="AJ701" s="5">
        <f t="shared" si="240"/>
        <v>0.46875000000000006</v>
      </c>
      <c r="AK701" s="5">
        <f t="shared" si="241"/>
        <v>1.4062500000000002</v>
      </c>
      <c r="AL701" s="5">
        <f t="shared" si="242"/>
        <v>3.5156250000000004</v>
      </c>
      <c r="AM701" s="5">
        <f t="shared" si="243"/>
        <v>0</v>
      </c>
      <c r="AN701" s="5">
        <f t="shared" si="244"/>
        <v>3.5156250000000004</v>
      </c>
      <c r="AO701" s="1" t="s">
        <v>102</v>
      </c>
    </row>
    <row r="702" spans="1:41" x14ac:dyDescent="0.25">
      <c r="A702" s="1" t="s">
        <v>19</v>
      </c>
      <c r="B702" s="1" t="s">
        <v>37</v>
      </c>
      <c r="C702" s="1" t="s">
        <v>21</v>
      </c>
      <c r="D702" s="1" t="s">
        <v>39</v>
      </c>
      <c r="E702" s="1" t="s">
        <v>96</v>
      </c>
      <c r="F702" s="1" t="s">
        <v>103</v>
      </c>
      <c r="G702" s="1" t="s">
        <v>127</v>
      </c>
      <c r="H702" s="1" t="s">
        <v>872</v>
      </c>
      <c r="I702" s="1" t="s">
        <v>157</v>
      </c>
      <c r="J702" s="1" t="s">
        <v>101</v>
      </c>
      <c r="L702" s="1">
        <v>2134851</v>
      </c>
      <c r="M702" s="1" t="s">
        <v>907</v>
      </c>
      <c r="N702" s="8">
        <f t="shared" si="245"/>
        <v>42796</v>
      </c>
      <c r="O702" s="8">
        <f>DATE(2019,12,20)</f>
        <v>43819</v>
      </c>
      <c r="P702" s="1">
        <v>2160</v>
      </c>
      <c r="Q702" s="1">
        <v>1600</v>
      </c>
      <c r="R702" s="1">
        <f t="shared" si="227"/>
        <v>1600</v>
      </c>
      <c r="S702" s="1">
        <v>1</v>
      </c>
      <c r="U702" s="1">
        <f t="shared" si="228"/>
        <v>1024</v>
      </c>
      <c r="V702" s="7">
        <f t="shared" si="229"/>
        <v>1.5625</v>
      </c>
      <c r="W702" s="7">
        <f t="shared" si="230"/>
        <v>570.3125</v>
      </c>
      <c r="X702" s="7">
        <f t="shared" si="231"/>
        <v>0.712890625</v>
      </c>
      <c r="AA702" s="8">
        <f t="shared" si="232"/>
        <v>44927</v>
      </c>
      <c r="AB702" s="8">
        <f t="shared" si="233"/>
        <v>45291</v>
      </c>
      <c r="AC702" s="1">
        <v>1</v>
      </c>
      <c r="AD702" s="1">
        <f t="shared" si="234"/>
        <v>0</v>
      </c>
      <c r="AE702" s="1">
        <f t="shared" si="235"/>
        <v>0</v>
      </c>
      <c r="AF702" s="1">
        <f t="shared" si="236"/>
        <v>0</v>
      </c>
      <c r="AG702" s="1">
        <f t="shared" si="237"/>
        <v>0</v>
      </c>
      <c r="AH702" s="1">
        <f t="shared" si="238"/>
        <v>182.5</v>
      </c>
      <c r="AI702" s="5">
        <f t="shared" si="239"/>
        <v>0.5</v>
      </c>
      <c r="AJ702" s="5">
        <f t="shared" si="240"/>
        <v>0.3564453125</v>
      </c>
      <c r="AK702" s="5">
        <f t="shared" si="241"/>
        <v>0</v>
      </c>
      <c r="AL702" s="5">
        <f t="shared" si="242"/>
        <v>0</v>
      </c>
      <c r="AM702" s="5">
        <f t="shared" si="243"/>
        <v>0</v>
      </c>
      <c r="AN702" s="5">
        <f t="shared" si="244"/>
        <v>0</v>
      </c>
      <c r="AO702" s="1" t="s">
        <v>102</v>
      </c>
    </row>
    <row r="703" spans="1:41" x14ac:dyDescent="0.25">
      <c r="A703" s="1" t="s">
        <v>19</v>
      </c>
      <c r="B703" s="1" t="s">
        <v>37</v>
      </c>
      <c r="C703" s="1" t="s">
        <v>21</v>
      </c>
      <c r="D703" s="1" t="s">
        <v>39</v>
      </c>
      <c r="E703" s="1" t="s">
        <v>96</v>
      </c>
      <c r="F703" s="1" t="s">
        <v>103</v>
      </c>
      <c r="G703" s="1" t="s">
        <v>114</v>
      </c>
      <c r="H703" s="1" t="s">
        <v>254</v>
      </c>
      <c r="I703" s="1" t="s">
        <v>255</v>
      </c>
      <c r="J703" s="1" t="s">
        <v>101</v>
      </c>
      <c r="K703" s="1" t="s">
        <v>175</v>
      </c>
      <c r="L703" s="1">
        <v>2134857</v>
      </c>
      <c r="M703" s="1" t="s">
        <v>908</v>
      </c>
      <c r="N703" s="8">
        <f t="shared" si="245"/>
        <v>42796</v>
      </c>
      <c r="O703" s="8">
        <f>DATE(2018,12,21)</f>
        <v>43455</v>
      </c>
      <c r="P703" s="1">
        <v>1367</v>
      </c>
      <c r="Q703" s="1">
        <v>1200</v>
      </c>
      <c r="R703" s="1">
        <f t="shared" si="227"/>
        <v>1200</v>
      </c>
      <c r="S703" s="1">
        <v>2.5</v>
      </c>
      <c r="U703" s="1">
        <f t="shared" si="228"/>
        <v>660</v>
      </c>
      <c r="V703" s="7">
        <f t="shared" si="229"/>
        <v>1.8181818181818181</v>
      </c>
      <c r="W703" s="7">
        <f t="shared" si="230"/>
        <v>663.63636363636363</v>
      </c>
      <c r="X703" s="7">
        <f t="shared" si="231"/>
        <v>0.82954545454545459</v>
      </c>
      <c r="AA703" s="8">
        <f t="shared" si="232"/>
        <v>44927</v>
      </c>
      <c r="AB703" s="8">
        <f t="shared" si="233"/>
        <v>45291</v>
      </c>
      <c r="AC703" s="1">
        <v>0</v>
      </c>
      <c r="AD703" s="1">
        <f t="shared" si="234"/>
        <v>0</v>
      </c>
      <c r="AE703" s="1">
        <f t="shared" si="235"/>
        <v>0</v>
      </c>
      <c r="AF703" s="1">
        <f t="shared" si="236"/>
        <v>0</v>
      </c>
      <c r="AG703" s="1">
        <f t="shared" si="237"/>
        <v>0</v>
      </c>
      <c r="AH703" s="1">
        <f t="shared" si="238"/>
        <v>182.5</v>
      </c>
      <c r="AI703" s="5">
        <f t="shared" si="239"/>
        <v>0.5</v>
      </c>
      <c r="AJ703" s="5">
        <f t="shared" si="240"/>
        <v>0.41477272727272729</v>
      </c>
      <c r="AK703" s="5">
        <f t="shared" si="241"/>
        <v>0</v>
      </c>
      <c r="AL703" s="5">
        <f t="shared" si="242"/>
        <v>0</v>
      </c>
      <c r="AM703" s="5">
        <f t="shared" si="243"/>
        <v>0</v>
      </c>
      <c r="AN703" s="5">
        <f t="shared" si="244"/>
        <v>0</v>
      </c>
      <c r="AO703" s="1" t="s">
        <v>102</v>
      </c>
    </row>
    <row r="704" spans="1:41" x14ac:dyDescent="0.25">
      <c r="A704" s="1" t="s">
        <v>19</v>
      </c>
      <c r="B704" s="1" t="s">
        <v>37</v>
      </c>
      <c r="C704" s="1" t="s">
        <v>21</v>
      </c>
      <c r="D704" s="1" t="s">
        <v>39</v>
      </c>
      <c r="E704" s="1" t="s">
        <v>96</v>
      </c>
      <c r="F704" s="1" t="s">
        <v>103</v>
      </c>
      <c r="G704" s="1" t="s">
        <v>114</v>
      </c>
      <c r="H704" s="1" t="s">
        <v>892</v>
      </c>
      <c r="I704" s="1" t="s">
        <v>194</v>
      </c>
      <c r="J704" s="1" t="s">
        <v>101</v>
      </c>
      <c r="K704" s="1" t="s">
        <v>175</v>
      </c>
      <c r="L704" s="1">
        <v>2134859</v>
      </c>
      <c r="M704" s="1" t="s">
        <v>909</v>
      </c>
      <c r="N704" s="8">
        <f t="shared" si="245"/>
        <v>42796</v>
      </c>
      <c r="O704" s="8">
        <f>DATE(2018,12,21)</f>
        <v>43455</v>
      </c>
      <c r="P704" s="1">
        <v>1343</v>
      </c>
      <c r="Q704" s="1">
        <v>1200</v>
      </c>
      <c r="R704" s="1">
        <f t="shared" si="227"/>
        <v>1200</v>
      </c>
      <c r="S704" s="1">
        <v>2.5</v>
      </c>
      <c r="U704" s="1">
        <f t="shared" si="228"/>
        <v>660</v>
      </c>
      <c r="V704" s="7">
        <f t="shared" si="229"/>
        <v>1.8181818181818181</v>
      </c>
      <c r="W704" s="7">
        <f t="shared" si="230"/>
        <v>663.63636363636363</v>
      </c>
      <c r="X704" s="7">
        <f t="shared" si="231"/>
        <v>0.82954545454545459</v>
      </c>
      <c r="AA704" s="8">
        <f t="shared" si="232"/>
        <v>44927</v>
      </c>
      <c r="AB704" s="8">
        <f t="shared" si="233"/>
        <v>45291</v>
      </c>
      <c r="AC704" s="1">
        <v>2</v>
      </c>
      <c r="AD704" s="1">
        <f t="shared" si="234"/>
        <v>0</v>
      </c>
      <c r="AE704" s="1">
        <f t="shared" si="235"/>
        <v>0</v>
      </c>
      <c r="AF704" s="1">
        <f t="shared" si="236"/>
        <v>0</v>
      </c>
      <c r="AG704" s="1">
        <f t="shared" si="237"/>
        <v>0</v>
      </c>
      <c r="AH704" s="1">
        <f t="shared" si="238"/>
        <v>182.5</v>
      </c>
      <c r="AI704" s="5">
        <f t="shared" si="239"/>
        <v>0.5</v>
      </c>
      <c r="AJ704" s="5">
        <f t="shared" si="240"/>
        <v>0.41477272727272729</v>
      </c>
      <c r="AK704" s="5">
        <f t="shared" si="241"/>
        <v>0</v>
      </c>
      <c r="AL704" s="5">
        <f t="shared" si="242"/>
        <v>0</v>
      </c>
      <c r="AM704" s="5">
        <f t="shared" si="243"/>
        <v>0</v>
      </c>
      <c r="AN704" s="5">
        <f t="shared" si="244"/>
        <v>0</v>
      </c>
      <c r="AO704" s="1" t="s">
        <v>102</v>
      </c>
    </row>
    <row r="705" spans="1:41" x14ac:dyDescent="0.25">
      <c r="A705" s="1" t="s">
        <v>19</v>
      </c>
      <c r="B705" s="1" t="s">
        <v>37</v>
      </c>
      <c r="C705" s="1" t="s">
        <v>21</v>
      </c>
      <c r="D705" s="1" t="s">
        <v>39</v>
      </c>
      <c r="E705" s="1" t="s">
        <v>172</v>
      </c>
      <c r="F705" s="1" t="s">
        <v>534</v>
      </c>
      <c r="G705" s="1" t="s">
        <v>320</v>
      </c>
      <c r="H705" s="1" t="s">
        <v>321</v>
      </c>
      <c r="I705" s="1" t="s">
        <v>174</v>
      </c>
      <c r="J705" s="1" t="s">
        <v>101</v>
      </c>
      <c r="L705" s="1">
        <v>2461165</v>
      </c>
      <c r="M705" s="1" t="s">
        <v>910</v>
      </c>
      <c r="N705" s="8">
        <f t="shared" si="245"/>
        <v>42796</v>
      </c>
      <c r="O705" s="8">
        <f t="shared" ref="O705:O725" si="246">DATE(2021,3,1)</f>
        <v>44256</v>
      </c>
      <c r="P705" s="1">
        <v>3470</v>
      </c>
      <c r="Q705" s="1">
        <v>3200</v>
      </c>
      <c r="R705" s="1">
        <f t="shared" si="227"/>
        <v>3200</v>
      </c>
      <c r="S705" s="1">
        <v>2.5</v>
      </c>
      <c r="U705" s="1">
        <f t="shared" si="228"/>
        <v>1461</v>
      </c>
      <c r="V705" s="7">
        <f t="shared" si="229"/>
        <v>2.1902806297056809</v>
      </c>
      <c r="W705" s="7">
        <f t="shared" si="230"/>
        <v>799.45242984257357</v>
      </c>
      <c r="X705" s="7">
        <f t="shared" si="231"/>
        <v>0.99931553730321698</v>
      </c>
      <c r="AA705" s="8">
        <f t="shared" si="232"/>
        <v>44927</v>
      </c>
      <c r="AB705" s="8">
        <f t="shared" si="233"/>
        <v>45291</v>
      </c>
      <c r="AC705" s="1">
        <v>19</v>
      </c>
      <c r="AD705" s="1">
        <f t="shared" si="234"/>
        <v>0</v>
      </c>
      <c r="AE705" s="1">
        <f t="shared" si="235"/>
        <v>0</v>
      </c>
      <c r="AF705" s="1">
        <f t="shared" si="236"/>
        <v>0</v>
      </c>
      <c r="AG705" s="1">
        <f t="shared" si="237"/>
        <v>0</v>
      </c>
      <c r="AH705" s="1">
        <f t="shared" si="238"/>
        <v>182.5</v>
      </c>
      <c r="AI705" s="5">
        <f t="shared" si="239"/>
        <v>0.5</v>
      </c>
      <c r="AJ705" s="5">
        <f t="shared" si="240"/>
        <v>0.49965776865160849</v>
      </c>
      <c r="AK705" s="5">
        <f t="shared" si="241"/>
        <v>4.7467488021902806</v>
      </c>
      <c r="AL705" s="5">
        <f t="shared" si="242"/>
        <v>11.866872005475702</v>
      </c>
      <c r="AM705" s="5">
        <f t="shared" si="243"/>
        <v>0</v>
      </c>
      <c r="AN705" s="5">
        <f t="shared" si="244"/>
        <v>11.866872005475702</v>
      </c>
      <c r="AO705" s="1" t="s">
        <v>111</v>
      </c>
    </row>
    <row r="706" spans="1:41" x14ac:dyDescent="0.25">
      <c r="A706" s="1" t="s">
        <v>19</v>
      </c>
      <c r="B706" s="1" t="s">
        <v>37</v>
      </c>
      <c r="C706" s="1" t="s">
        <v>21</v>
      </c>
      <c r="D706" s="1" t="s">
        <v>39</v>
      </c>
      <c r="E706" s="1" t="s">
        <v>172</v>
      </c>
      <c r="F706" s="1" t="s">
        <v>534</v>
      </c>
      <c r="G706" s="1" t="s">
        <v>320</v>
      </c>
      <c r="H706" s="1" t="s">
        <v>321</v>
      </c>
      <c r="I706" s="1" t="s">
        <v>174</v>
      </c>
      <c r="J706" s="1" t="s">
        <v>101</v>
      </c>
      <c r="L706" s="1">
        <v>2461205</v>
      </c>
      <c r="M706" s="1" t="s">
        <v>910</v>
      </c>
      <c r="N706" s="8">
        <f t="shared" si="245"/>
        <v>42796</v>
      </c>
      <c r="O706" s="8">
        <f t="shared" si="246"/>
        <v>44256</v>
      </c>
      <c r="P706" s="1">
        <v>3470</v>
      </c>
      <c r="Q706" s="1">
        <v>3200</v>
      </c>
      <c r="R706" s="1">
        <f t="shared" si="227"/>
        <v>3200</v>
      </c>
      <c r="S706" s="1">
        <v>2.5</v>
      </c>
      <c r="U706" s="1">
        <f t="shared" si="228"/>
        <v>1461</v>
      </c>
      <c r="V706" s="7">
        <f t="shared" si="229"/>
        <v>2.1902806297056809</v>
      </c>
      <c r="W706" s="7">
        <f t="shared" si="230"/>
        <v>799.45242984257357</v>
      </c>
      <c r="X706" s="7">
        <f t="shared" si="231"/>
        <v>0.99931553730321698</v>
      </c>
      <c r="AA706" s="8">
        <f t="shared" si="232"/>
        <v>44927</v>
      </c>
      <c r="AB706" s="8">
        <f t="shared" si="233"/>
        <v>45291</v>
      </c>
      <c r="AC706" s="1">
        <v>11</v>
      </c>
      <c r="AD706" s="1">
        <f t="shared" si="234"/>
        <v>0</v>
      </c>
      <c r="AE706" s="1">
        <f t="shared" si="235"/>
        <v>0</v>
      </c>
      <c r="AF706" s="1">
        <f t="shared" si="236"/>
        <v>0</v>
      </c>
      <c r="AG706" s="1">
        <f t="shared" si="237"/>
        <v>0</v>
      </c>
      <c r="AH706" s="1">
        <f t="shared" si="238"/>
        <v>182.5</v>
      </c>
      <c r="AI706" s="5">
        <f t="shared" si="239"/>
        <v>0.5</v>
      </c>
      <c r="AJ706" s="5">
        <f t="shared" si="240"/>
        <v>0.49965776865160849</v>
      </c>
      <c r="AK706" s="5">
        <f t="shared" si="241"/>
        <v>2.7481177275838466</v>
      </c>
      <c r="AL706" s="5">
        <f t="shared" si="242"/>
        <v>6.8702943189596164</v>
      </c>
      <c r="AM706" s="5">
        <f t="shared" si="243"/>
        <v>0</v>
      </c>
      <c r="AN706" s="5">
        <f t="shared" si="244"/>
        <v>6.8702943189596164</v>
      </c>
      <c r="AO706" s="1" t="s">
        <v>111</v>
      </c>
    </row>
    <row r="707" spans="1:41" x14ac:dyDescent="0.25">
      <c r="A707" s="1" t="s">
        <v>19</v>
      </c>
      <c r="B707" s="1" t="s">
        <v>37</v>
      </c>
      <c r="C707" s="1" t="s">
        <v>21</v>
      </c>
      <c r="D707" s="1" t="s">
        <v>39</v>
      </c>
      <c r="E707" s="1" t="s">
        <v>172</v>
      </c>
      <c r="F707" s="1" t="s">
        <v>534</v>
      </c>
      <c r="G707" s="1" t="s">
        <v>320</v>
      </c>
      <c r="H707" s="1" t="s">
        <v>321</v>
      </c>
      <c r="I707" s="1" t="s">
        <v>174</v>
      </c>
      <c r="J707" s="1" t="s">
        <v>101</v>
      </c>
      <c r="L707" s="1">
        <v>2461211</v>
      </c>
      <c r="M707" s="1" t="s">
        <v>910</v>
      </c>
      <c r="N707" s="8">
        <f t="shared" si="245"/>
        <v>42796</v>
      </c>
      <c r="O707" s="8">
        <f t="shared" si="246"/>
        <v>44256</v>
      </c>
      <c r="P707" s="1">
        <v>3470</v>
      </c>
      <c r="Q707" s="1">
        <v>3200</v>
      </c>
      <c r="R707" s="1">
        <f t="shared" si="227"/>
        <v>3200</v>
      </c>
      <c r="S707" s="1">
        <v>2.5</v>
      </c>
      <c r="U707" s="1">
        <f t="shared" si="228"/>
        <v>1461</v>
      </c>
      <c r="V707" s="7">
        <f t="shared" si="229"/>
        <v>2.1902806297056809</v>
      </c>
      <c r="W707" s="7">
        <f t="shared" si="230"/>
        <v>799.45242984257357</v>
      </c>
      <c r="X707" s="7">
        <f t="shared" si="231"/>
        <v>0.99931553730321698</v>
      </c>
      <c r="AA707" s="8">
        <f t="shared" si="232"/>
        <v>44927</v>
      </c>
      <c r="AB707" s="8">
        <f t="shared" si="233"/>
        <v>45291</v>
      </c>
      <c r="AC707" s="1">
        <v>18</v>
      </c>
      <c r="AD707" s="1">
        <f t="shared" si="234"/>
        <v>0</v>
      </c>
      <c r="AE707" s="1">
        <f t="shared" si="235"/>
        <v>0</v>
      </c>
      <c r="AF707" s="1">
        <f t="shared" si="236"/>
        <v>0</v>
      </c>
      <c r="AG707" s="1">
        <f t="shared" si="237"/>
        <v>0</v>
      </c>
      <c r="AH707" s="1">
        <f t="shared" si="238"/>
        <v>182.5</v>
      </c>
      <c r="AI707" s="5">
        <f t="shared" si="239"/>
        <v>0.5</v>
      </c>
      <c r="AJ707" s="5">
        <f t="shared" si="240"/>
        <v>0.49965776865160849</v>
      </c>
      <c r="AK707" s="5">
        <f t="shared" si="241"/>
        <v>4.4969199178644761</v>
      </c>
      <c r="AL707" s="5">
        <f t="shared" si="242"/>
        <v>11.242299794661189</v>
      </c>
      <c r="AM707" s="5">
        <f t="shared" si="243"/>
        <v>0</v>
      </c>
      <c r="AN707" s="5">
        <f t="shared" si="244"/>
        <v>11.242299794661189</v>
      </c>
      <c r="AO707" s="1" t="s">
        <v>111</v>
      </c>
    </row>
    <row r="708" spans="1:41" x14ac:dyDescent="0.25">
      <c r="A708" s="1" t="s">
        <v>19</v>
      </c>
      <c r="B708" s="1" t="s">
        <v>37</v>
      </c>
      <c r="C708" s="1" t="s">
        <v>21</v>
      </c>
      <c r="D708" s="1" t="s">
        <v>39</v>
      </c>
      <c r="E708" s="1" t="s">
        <v>172</v>
      </c>
      <c r="F708" s="1" t="s">
        <v>534</v>
      </c>
      <c r="G708" s="1" t="s">
        <v>320</v>
      </c>
      <c r="H708" s="1" t="s">
        <v>321</v>
      </c>
      <c r="I708" s="1" t="s">
        <v>174</v>
      </c>
      <c r="J708" s="1" t="s">
        <v>101</v>
      </c>
      <c r="L708" s="1">
        <v>2461225</v>
      </c>
      <c r="M708" s="1" t="s">
        <v>910</v>
      </c>
      <c r="N708" s="8">
        <f t="shared" si="245"/>
        <v>42796</v>
      </c>
      <c r="O708" s="8">
        <f t="shared" si="246"/>
        <v>44256</v>
      </c>
      <c r="P708" s="1">
        <v>3470</v>
      </c>
      <c r="Q708" s="1">
        <v>3200</v>
      </c>
      <c r="R708" s="1">
        <f t="shared" si="227"/>
        <v>3200</v>
      </c>
      <c r="S708" s="1">
        <v>2.5</v>
      </c>
      <c r="U708" s="1">
        <f t="shared" si="228"/>
        <v>1461</v>
      </c>
      <c r="V708" s="7">
        <f t="shared" si="229"/>
        <v>2.1902806297056809</v>
      </c>
      <c r="W708" s="7">
        <f t="shared" si="230"/>
        <v>799.45242984257357</v>
      </c>
      <c r="X708" s="7">
        <f t="shared" si="231"/>
        <v>0.99931553730321698</v>
      </c>
      <c r="AA708" s="8">
        <f t="shared" si="232"/>
        <v>44927</v>
      </c>
      <c r="AB708" s="8">
        <f t="shared" si="233"/>
        <v>45291</v>
      </c>
      <c r="AC708" s="1">
        <v>2</v>
      </c>
      <c r="AD708" s="1">
        <f t="shared" si="234"/>
        <v>0</v>
      </c>
      <c r="AE708" s="1">
        <f t="shared" si="235"/>
        <v>0</v>
      </c>
      <c r="AF708" s="1">
        <f t="shared" si="236"/>
        <v>0</v>
      </c>
      <c r="AG708" s="1">
        <f t="shared" si="237"/>
        <v>0</v>
      </c>
      <c r="AH708" s="1">
        <f t="shared" si="238"/>
        <v>182.5</v>
      </c>
      <c r="AI708" s="5">
        <f t="shared" si="239"/>
        <v>0.5</v>
      </c>
      <c r="AJ708" s="5">
        <f t="shared" si="240"/>
        <v>0.49965776865160849</v>
      </c>
      <c r="AK708" s="5">
        <f t="shared" si="241"/>
        <v>0.49965776865160849</v>
      </c>
      <c r="AL708" s="5">
        <f t="shared" si="242"/>
        <v>1.2491444216290213</v>
      </c>
      <c r="AM708" s="5">
        <f t="shared" si="243"/>
        <v>0</v>
      </c>
      <c r="AN708" s="5">
        <f t="shared" si="244"/>
        <v>1.2491444216290213</v>
      </c>
      <c r="AO708" s="1" t="s">
        <v>111</v>
      </c>
    </row>
    <row r="709" spans="1:41" x14ac:dyDescent="0.25">
      <c r="A709" s="1" t="s">
        <v>19</v>
      </c>
      <c r="B709" s="1" t="s">
        <v>37</v>
      </c>
      <c r="C709" s="1" t="s">
        <v>21</v>
      </c>
      <c r="D709" s="1" t="s">
        <v>39</v>
      </c>
      <c r="E709" s="1" t="s">
        <v>172</v>
      </c>
      <c r="F709" s="1" t="s">
        <v>534</v>
      </c>
      <c r="G709" s="1" t="s">
        <v>320</v>
      </c>
      <c r="H709" s="1" t="s">
        <v>321</v>
      </c>
      <c r="I709" s="1" t="s">
        <v>174</v>
      </c>
      <c r="J709" s="1" t="s">
        <v>101</v>
      </c>
      <c r="L709" s="1">
        <v>2461226</v>
      </c>
      <c r="M709" s="1" t="s">
        <v>910</v>
      </c>
      <c r="N709" s="8">
        <f t="shared" si="245"/>
        <v>42796</v>
      </c>
      <c r="O709" s="8">
        <f t="shared" si="246"/>
        <v>44256</v>
      </c>
      <c r="P709" s="1">
        <v>3470</v>
      </c>
      <c r="Q709" s="1">
        <v>3200</v>
      </c>
      <c r="R709" s="1">
        <f t="shared" si="227"/>
        <v>3200</v>
      </c>
      <c r="S709" s="1">
        <v>2.5</v>
      </c>
      <c r="U709" s="1">
        <f t="shared" si="228"/>
        <v>1461</v>
      </c>
      <c r="V709" s="7">
        <f t="shared" si="229"/>
        <v>2.1902806297056809</v>
      </c>
      <c r="W709" s="7">
        <f t="shared" si="230"/>
        <v>799.45242984257357</v>
      </c>
      <c r="X709" s="7">
        <f t="shared" si="231"/>
        <v>0.99931553730321698</v>
      </c>
      <c r="AA709" s="8">
        <f t="shared" si="232"/>
        <v>44927</v>
      </c>
      <c r="AB709" s="8">
        <f t="shared" si="233"/>
        <v>45291</v>
      </c>
      <c r="AC709" s="1">
        <v>13</v>
      </c>
      <c r="AD709" s="1">
        <f t="shared" si="234"/>
        <v>0</v>
      </c>
      <c r="AE709" s="1">
        <f t="shared" si="235"/>
        <v>0</v>
      </c>
      <c r="AF709" s="1">
        <f t="shared" si="236"/>
        <v>0</v>
      </c>
      <c r="AG709" s="1">
        <f t="shared" si="237"/>
        <v>0</v>
      </c>
      <c r="AH709" s="1">
        <f t="shared" si="238"/>
        <v>182.5</v>
      </c>
      <c r="AI709" s="5">
        <f t="shared" si="239"/>
        <v>0.5</v>
      </c>
      <c r="AJ709" s="5">
        <f t="shared" si="240"/>
        <v>0.49965776865160849</v>
      </c>
      <c r="AK709" s="5">
        <f t="shared" si="241"/>
        <v>3.2477754962354553</v>
      </c>
      <c r="AL709" s="5">
        <f t="shared" si="242"/>
        <v>8.1194387405886381</v>
      </c>
      <c r="AM709" s="5">
        <f t="shared" si="243"/>
        <v>0</v>
      </c>
      <c r="AN709" s="5">
        <f t="shared" si="244"/>
        <v>8.1194387405886381</v>
      </c>
      <c r="AO709" s="1" t="s">
        <v>111</v>
      </c>
    </row>
    <row r="710" spans="1:41" x14ac:dyDescent="0.25">
      <c r="A710" s="1" t="s">
        <v>19</v>
      </c>
      <c r="B710" s="1" t="s">
        <v>37</v>
      </c>
      <c r="C710" s="1" t="s">
        <v>21</v>
      </c>
      <c r="D710" s="1" t="s">
        <v>39</v>
      </c>
      <c r="E710" s="1" t="s">
        <v>172</v>
      </c>
      <c r="F710" s="1" t="s">
        <v>534</v>
      </c>
      <c r="G710" s="1" t="s">
        <v>320</v>
      </c>
      <c r="H710" s="1" t="s">
        <v>321</v>
      </c>
      <c r="I710" s="1" t="s">
        <v>174</v>
      </c>
      <c r="J710" s="1" t="s">
        <v>101</v>
      </c>
      <c r="L710" s="1">
        <v>2461228</v>
      </c>
      <c r="M710" s="1" t="s">
        <v>910</v>
      </c>
      <c r="N710" s="8">
        <f t="shared" si="245"/>
        <v>42796</v>
      </c>
      <c r="O710" s="8">
        <f t="shared" si="246"/>
        <v>44256</v>
      </c>
      <c r="P710" s="1">
        <v>3470</v>
      </c>
      <c r="Q710" s="1">
        <v>3200</v>
      </c>
      <c r="R710" s="1">
        <f t="shared" si="227"/>
        <v>3200</v>
      </c>
      <c r="S710" s="1">
        <v>2.5</v>
      </c>
      <c r="U710" s="1">
        <f t="shared" si="228"/>
        <v>1461</v>
      </c>
      <c r="V710" s="7">
        <f t="shared" si="229"/>
        <v>2.1902806297056809</v>
      </c>
      <c r="W710" s="7">
        <f t="shared" si="230"/>
        <v>799.45242984257357</v>
      </c>
      <c r="X710" s="7">
        <f t="shared" si="231"/>
        <v>0.99931553730321698</v>
      </c>
      <c r="AA710" s="8">
        <f t="shared" si="232"/>
        <v>44927</v>
      </c>
      <c r="AB710" s="8">
        <f t="shared" si="233"/>
        <v>45291</v>
      </c>
      <c r="AC710" s="1">
        <v>6</v>
      </c>
      <c r="AD710" s="1">
        <f t="shared" si="234"/>
        <v>0</v>
      </c>
      <c r="AE710" s="1">
        <f t="shared" si="235"/>
        <v>0</v>
      </c>
      <c r="AF710" s="1">
        <f t="shared" si="236"/>
        <v>0</v>
      </c>
      <c r="AG710" s="1">
        <f t="shared" si="237"/>
        <v>0</v>
      </c>
      <c r="AH710" s="1">
        <f t="shared" si="238"/>
        <v>182.5</v>
      </c>
      <c r="AI710" s="5">
        <f t="shared" si="239"/>
        <v>0.5</v>
      </c>
      <c r="AJ710" s="5">
        <f t="shared" si="240"/>
        <v>0.49965776865160849</v>
      </c>
      <c r="AK710" s="5">
        <f t="shared" si="241"/>
        <v>1.4989733059548254</v>
      </c>
      <c r="AL710" s="5">
        <f t="shared" si="242"/>
        <v>3.7474332648870634</v>
      </c>
      <c r="AM710" s="5">
        <f t="shared" si="243"/>
        <v>0</v>
      </c>
      <c r="AN710" s="5">
        <f t="shared" si="244"/>
        <v>3.7474332648870634</v>
      </c>
      <c r="AO710" s="1" t="s">
        <v>111</v>
      </c>
    </row>
    <row r="711" spans="1:41" x14ac:dyDescent="0.25">
      <c r="A711" s="1" t="s">
        <v>19</v>
      </c>
      <c r="B711" s="1" t="s">
        <v>37</v>
      </c>
      <c r="C711" s="1" t="s">
        <v>21</v>
      </c>
      <c r="D711" s="1" t="s">
        <v>39</v>
      </c>
      <c r="E711" s="1" t="s">
        <v>172</v>
      </c>
      <c r="F711" s="1" t="s">
        <v>534</v>
      </c>
      <c r="G711" s="1" t="s">
        <v>320</v>
      </c>
      <c r="H711" s="1" t="s">
        <v>321</v>
      </c>
      <c r="I711" s="1" t="s">
        <v>174</v>
      </c>
      <c r="J711" s="1" t="s">
        <v>101</v>
      </c>
      <c r="L711" s="1">
        <v>2461229</v>
      </c>
      <c r="M711" s="1" t="s">
        <v>910</v>
      </c>
      <c r="N711" s="8">
        <f t="shared" si="245"/>
        <v>42796</v>
      </c>
      <c r="O711" s="8">
        <f t="shared" si="246"/>
        <v>44256</v>
      </c>
      <c r="P711" s="1">
        <v>3470</v>
      </c>
      <c r="Q711" s="1">
        <v>3200</v>
      </c>
      <c r="R711" s="1">
        <f t="shared" si="227"/>
        <v>3200</v>
      </c>
      <c r="S711" s="1">
        <v>2.5</v>
      </c>
      <c r="U711" s="1">
        <f t="shared" si="228"/>
        <v>1461</v>
      </c>
      <c r="V711" s="7">
        <f t="shared" si="229"/>
        <v>2.1902806297056809</v>
      </c>
      <c r="W711" s="7">
        <f t="shared" si="230"/>
        <v>799.45242984257357</v>
      </c>
      <c r="X711" s="7">
        <f t="shared" si="231"/>
        <v>0.99931553730321698</v>
      </c>
      <c r="AA711" s="8">
        <f t="shared" si="232"/>
        <v>44927</v>
      </c>
      <c r="AB711" s="8">
        <f t="shared" si="233"/>
        <v>45291</v>
      </c>
      <c r="AC711" s="1">
        <v>7</v>
      </c>
      <c r="AD711" s="1">
        <f t="shared" si="234"/>
        <v>0</v>
      </c>
      <c r="AE711" s="1">
        <f t="shared" si="235"/>
        <v>0</v>
      </c>
      <c r="AF711" s="1">
        <f t="shared" si="236"/>
        <v>0</v>
      </c>
      <c r="AG711" s="1">
        <f t="shared" si="237"/>
        <v>0</v>
      </c>
      <c r="AH711" s="1">
        <f t="shared" si="238"/>
        <v>182.5</v>
      </c>
      <c r="AI711" s="5">
        <f t="shared" si="239"/>
        <v>0.5</v>
      </c>
      <c r="AJ711" s="5">
        <f t="shared" si="240"/>
        <v>0.49965776865160849</v>
      </c>
      <c r="AK711" s="5">
        <f t="shared" si="241"/>
        <v>1.7488021902806297</v>
      </c>
      <c r="AL711" s="5">
        <f t="shared" si="242"/>
        <v>4.3720054757015738</v>
      </c>
      <c r="AM711" s="5">
        <f t="shared" si="243"/>
        <v>0</v>
      </c>
      <c r="AN711" s="5">
        <f t="shared" si="244"/>
        <v>4.3720054757015738</v>
      </c>
      <c r="AO711" s="1" t="s">
        <v>111</v>
      </c>
    </row>
    <row r="712" spans="1:41" x14ac:dyDescent="0.25">
      <c r="A712" s="1" t="s">
        <v>19</v>
      </c>
      <c r="B712" s="1" t="s">
        <v>37</v>
      </c>
      <c r="C712" s="1" t="s">
        <v>21</v>
      </c>
      <c r="D712" s="1" t="s">
        <v>39</v>
      </c>
      <c r="E712" s="1" t="s">
        <v>172</v>
      </c>
      <c r="F712" s="1" t="s">
        <v>534</v>
      </c>
      <c r="G712" s="1" t="s">
        <v>320</v>
      </c>
      <c r="H712" s="1" t="s">
        <v>353</v>
      </c>
      <c r="I712" s="1" t="s">
        <v>174</v>
      </c>
      <c r="J712" s="1" t="s">
        <v>101</v>
      </c>
      <c r="L712" s="1">
        <v>2461232</v>
      </c>
      <c r="M712" s="1" t="s">
        <v>911</v>
      </c>
      <c r="N712" s="8">
        <f t="shared" si="245"/>
        <v>42796</v>
      </c>
      <c r="O712" s="8">
        <f t="shared" si="246"/>
        <v>44256</v>
      </c>
      <c r="P712" s="1">
        <v>3500</v>
      </c>
      <c r="Q712" s="1">
        <v>3200</v>
      </c>
      <c r="R712" s="1">
        <f t="shared" si="227"/>
        <v>3200</v>
      </c>
      <c r="S712" s="1">
        <v>2.5</v>
      </c>
      <c r="U712" s="1">
        <f t="shared" si="228"/>
        <v>1461</v>
      </c>
      <c r="V712" s="7">
        <f t="shared" si="229"/>
        <v>2.1902806297056809</v>
      </c>
      <c r="W712" s="7">
        <f t="shared" si="230"/>
        <v>799.45242984257357</v>
      </c>
      <c r="X712" s="7">
        <f t="shared" si="231"/>
        <v>0.99931553730321698</v>
      </c>
      <c r="AA712" s="8">
        <f t="shared" si="232"/>
        <v>44927</v>
      </c>
      <c r="AB712" s="8">
        <f t="shared" si="233"/>
        <v>45291</v>
      </c>
      <c r="AC712" s="1">
        <v>8</v>
      </c>
      <c r="AD712" s="1">
        <f t="shared" si="234"/>
        <v>0</v>
      </c>
      <c r="AE712" s="1">
        <f t="shared" si="235"/>
        <v>0</v>
      </c>
      <c r="AF712" s="1">
        <f t="shared" si="236"/>
        <v>0</v>
      </c>
      <c r="AG712" s="1">
        <f t="shared" si="237"/>
        <v>0</v>
      </c>
      <c r="AH712" s="1">
        <f t="shared" si="238"/>
        <v>182.5</v>
      </c>
      <c r="AI712" s="5">
        <f t="shared" si="239"/>
        <v>0.5</v>
      </c>
      <c r="AJ712" s="5">
        <f t="shared" si="240"/>
        <v>0.49965776865160849</v>
      </c>
      <c r="AK712" s="5">
        <f t="shared" si="241"/>
        <v>1.998631074606434</v>
      </c>
      <c r="AL712" s="5">
        <f t="shared" si="242"/>
        <v>4.9965776865160851</v>
      </c>
      <c r="AM712" s="5">
        <f t="shared" si="243"/>
        <v>0</v>
      </c>
      <c r="AN712" s="5">
        <f t="shared" si="244"/>
        <v>4.9965776865160851</v>
      </c>
      <c r="AO712" s="1" t="s">
        <v>111</v>
      </c>
    </row>
    <row r="713" spans="1:41" x14ac:dyDescent="0.25">
      <c r="A713" s="1" t="s">
        <v>19</v>
      </c>
      <c r="B713" s="1" t="s">
        <v>37</v>
      </c>
      <c r="C713" s="1" t="s">
        <v>21</v>
      </c>
      <c r="D713" s="1" t="s">
        <v>39</v>
      </c>
      <c r="E713" s="1" t="s">
        <v>172</v>
      </c>
      <c r="F713" s="1" t="s">
        <v>534</v>
      </c>
      <c r="G713" s="1" t="s">
        <v>320</v>
      </c>
      <c r="H713" s="1" t="s">
        <v>353</v>
      </c>
      <c r="I713" s="1" t="s">
        <v>174</v>
      </c>
      <c r="J713" s="1" t="s">
        <v>101</v>
      </c>
      <c r="L713" s="1">
        <v>2461233</v>
      </c>
      <c r="M713" s="1" t="s">
        <v>911</v>
      </c>
      <c r="N713" s="8">
        <f t="shared" si="245"/>
        <v>42796</v>
      </c>
      <c r="O713" s="8">
        <f t="shared" si="246"/>
        <v>44256</v>
      </c>
      <c r="P713" s="1">
        <v>3500</v>
      </c>
      <c r="Q713" s="1">
        <v>3200</v>
      </c>
      <c r="R713" s="1">
        <f t="shared" si="227"/>
        <v>3200</v>
      </c>
      <c r="S713" s="1">
        <v>2.5</v>
      </c>
      <c r="U713" s="1">
        <f t="shared" si="228"/>
        <v>1461</v>
      </c>
      <c r="V713" s="7">
        <f t="shared" si="229"/>
        <v>2.1902806297056809</v>
      </c>
      <c r="W713" s="7">
        <f t="shared" si="230"/>
        <v>799.45242984257357</v>
      </c>
      <c r="X713" s="7">
        <f t="shared" si="231"/>
        <v>0.99931553730321698</v>
      </c>
      <c r="AA713" s="8">
        <f t="shared" si="232"/>
        <v>44927</v>
      </c>
      <c r="AB713" s="8">
        <f t="shared" si="233"/>
        <v>45291</v>
      </c>
      <c r="AC713" s="1">
        <v>9</v>
      </c>
      <c r="AD713" s="1">
        <f t="shared" si="234"/>
        <v>0</v>
      </c>
      <c r="AE713" s="1">
        <f t="shared" si="235"/>
        <v>0</v>
      </c>
      <c r="AF713" s="1">
        <f t="shared" si="236"/>
        <v>0</v>
      </c>
      <c r="AG713" s="1">
        <f t="shared" si="237"/>
        <v>0</v>
      </c>
      <c r="AH713" s="1">
        <f t="shared" si="238"/>
        <v>182.5</v>
      </c>
      <c r="AI713" s="5">
        <f t="shared" si="239"/>
        <v>0.5</v>
      </c>
      <c r="AJ713" s="5">
        <f t="shared" si="240"/>
        <v>0.49965776865160849</v>
      </c>
      <c r="AK713" s="5">
        <f t="shared" si="241"/>
        <v>2.248459958932238</v>
      </c>
      <c r="AL713" s="5">
        <f t="shared" si="242"/>
        <v>5.6211498973305947</v>
      </c>
      <c r="AM713" s="5">
        <f t="shared" si="243"/>
        <v>0</v>
      </c>
      <c r="AN713" s="5">
        <f t="shared" si="244"/>
        <v>5.6211498973305947</v>
      </c>
      <c r="AO713" s="1" t="s">
        <v>111</v>
      </c>
    </row>
    <row r="714" spans="1:41" x14ac:dyDescent="0.25">
      <c r="A714" s="1" t="s">
        <v>19</v>
      </c>
      <c r="B714" s="1" t="s">
        <v>37</v>
      </c>
      <c r="C714" s="1" t="s">
        <v>21</v>
      </c>
      <c r="D714" s="1" t="s">
        <v>39</v>
      </c>
      <c r="E714" s="1" t="s">
        <v>172</v>
      </c>
      <c r="F714" s="1" t="s">
        <v>534</v>
      </c>
      <c r="G714" s="1" t="s">
        <v>320</v>
      </c>
      <c r="H714" s="1" t="s">
        <v>353</v>
      </c>
      <c r="I714" s="1" t="s">
        <v>174</v>
      </c>
      <c r="J714" s="1" t="s">
        <v>101</v>
      </c>
      <c r="L714" s="1">
        <v>2461237</v>
      </c>
      <c r="M714" s="1" t="s">
        <v>911</v>
      </c>
      <c r="N714" s="8">
        <f t="shared" si="245"/>
        <v>42796</v>
      </c>
      <c r="O714" s="8">
        <f t="shared" si="246"/>
        <v>44256</v>
      </c>
      <c r="P714" s="1">
        <v>3500</v>
      </c>
      <c r="Q714" s="1">
        <v>3200</v>
      </c>
      <c r="R714" s="1">
        <f t="shared" si="227"/>
        <v>3200</v>
      </c>
      <c r="S714" s="1">
        <v>2.5</v>
      </c>
      <c r="U714" s="1">
        <f t="shared" si="228"/>
        <v>1461</v>
      </c>
      <c r="V714" s="7">
        <f t="shared" si="229"/>
        <v>2.1902806297056809</v>
      </c>
      <c r="W714" s="7">
        <f t="shared" si="230"/>
        <v>799.45242984257357</v>
      </c>
      <c r="X714" s="7">
        <f t="shared" si="231"/>
        <v>0.99931553730321698</v>
      </c>
      <c r="AA714" s="8">
        <f t="shared" si="232"/>
        <v>44927</v>
      </c>
      <c r="AB714" s="8">
        <f t="shared" si="233"/>
        <v>45291</v>
      </c>
      <c r="AC714" s="1">
        <v>19</v>
      </c>
      <c r="AD714" s="1">
        <f t="shared" si="234"/>
        <v>0</v>
      </c>
      <c r="AE714" s="1">
        <f t="shared" si="235"/>
        <v>0</v>
      </c>
      <c r="AF714" s="1">
        <f t="shared" si="236"/>
        <v>0</v>
      </c>
      <c r="AG714" s="1">
        <f t="shared" si="237"/>
        <v>0</v>
      </c>
      <c r="AH714" s="1">
        <f t="shared" si="238"/>
        <v>182.5</v>
      </c>
      <c r="AI714" s="5">
        <f t="shared" si="239"/>
        <v>0.5</v>
      </c>
      <c r="AJ714" s="5">
        <f t="shared" si="240"/>
        <v>0.49965776865160849</v>
      </c>
      <c r="AK714" s="5">
        <f t="shared" si="241"/>
        <v>4.7467488021902806</v>
      </c>
      <c r="AL714" s="5">
        <f t="shared" si="242"/>
        <v>11.866872005475702</v>
      </c>
      <c r="AM714" s="5">
        <f t="shared" si="243"/>
        <v>0</v>
      </c>
      <c r="AN714" s="5">
        <f t="shared" si="244"/>
        <v>11.866872005475702</v>
      </c>
      <c r="AO714" s="1" t="s">
        <v>111</v>
      </c>
    </row>
    <row r="715" spans="1:41" x14ac:dyDescent="0.25">
      <c r="A715" s="1" t="s">
        <v>19</v>
      </c>
      <c r="B715" s="1" t="s">
        <v>37</v>
      </c>
      <c r="C715" s="1" t="s">
        <v>21</v>
      </c>
      <c r="D715" s="1" t="s">
        <v>39</v>
      </c>
      <c r="E715" s="1" t="s">
        <v>172</v>
      </c>
      <c r="F715" s="1" t="s">
        <v>534</v>
      </c>
      <c r="G715" s="1" t="s">
        <v>320</v>
      </c>
      <c r="H715" s="1" t="s">
        <v>353</v>
      </c>
      <c r="I715" s="1" t="s">
        <v>174</v>
      </c>
      <c r="J715" s="1" t="s">
        <v>101</v>
      </c>
      <c r="L715" s="1">
        <v>2461238</v>
      </c>
      <c r="M715" s="1" t="s">
        <v>911</v>
      </c>
      <c r="N715" s="8">
        <f t="shared" si="245"/>
        <v>42796</v>
      </c>
      <c r="O715" s="8">
        <f t="shared" si="246"/>
        <v>44256</v>
      </c>
      <c r="P715" s="1">
        <v>3500</v>
      </c>
      <c r="Q715" s="1">
        <v>3200</v>
      </c>
      <c r="R715" s="1">
        <f t="shared" si="227"/>
        <v>3200</v>
      </c>
      <c r="S715" s="1">
        <v>2.5</v>
      </c>
      <c r="U715" s="1">
        <f t="shared" si="228"/>
        <v>1461</v>
      </c>
      <c r="V715" s="7">
        <f t="shared" si="229"/>
        <v>2.1902806297056809</v>
      </c>
      <c r="W715" s="7">
        <f t="shared" si="230"/>
        <v>799.45242984257357</v>
      </c>
      <c r="X715" s="7">
        <f t="shared" si="231"/>
        <v>0.99931553730321698</v>
      </c>
      <c r="AA715" s="8">
        <f t="shared" si="232"/>
        <v>44927</v>
      </c>
      <c r="AB715" s="8">
        <f t="shared" si="233"/>
        <v>45291</v>
      </c>
      <c r="AC715" s="1">
        <v>9</v>
      </c>
      <c r="AD715" s="1">
        <f t="shared" si="234"/>
        <v>0</v>
      </c>
      <c r="AE715" s="1">
        <f t="shared" si="235"/>
        <v>0</v>
      </c>
      <c r="AF715" s="1">
        <f t="shared" si="236"/>
        <v>0</v>
      </c>
      <c r="AG715" s="1">
        <f t="shared" si="237"/>
        <v>0</v>
      </c>
      <c r="AH715" s="1">
        <f t="shared" si="238"/>
        <v>182.5</v>
      </c>
      <c r="AI715" s="5">
        <f t="shared" si="239"/>
        <v>0.5</v>
      </c>
      <c r="AJ715" s="5">
        <f t="shared" si="240"/>
        <v>0.49965776865160849</v>
      </c>
      <c r="AK715" s="5">
        <f t="shared" si="241"/>
        <v>2.248459958932238</v>
      </c>
      <c r="AL715" s="5">
        <f t="shared" si="242"/>
        <v>5.6211498973305947</v>
      </c>
      <c r="AM715" s="5">
        <f t="shared" si="243"/>
        <v>0</v>
      </c>
      <c r="AN715" s="5">
        <f t="shared" si="244"/>
        <v>5.6211498973305947</v>
      </c>
      <c r="AO715" s="1" t="s">
        <v>111</v>
      </c>
    </row>
    <row r="716" spans="1:41" x14ac:dyDescent="0.25">
      <c r="A716" s="1" t="s">
        <v>19</v>
      </c>
      <c r="B716" s="1" t="s">
        <v>37</v>
      </c>
      <c r="C716" s="1" t="s">
        <v>21</v>
      </c>
      <c r="D716" s="1" t="s">
        <v>39</v>
      </c>
      <c r="E716" s="1" t="s">
        <v>172</v>
      </c>
      <c r="F716" s="1" t="s">
        <v>534</v>
      </c>
      <c r="G716" s="1" t="s">
        <v>320</v>
      </c>
      <c r="H716" s="1" t="s">
        <v>353</v>
      </c>
      <c r="I716" s="1" t="s">
        <v>174</v>
      </c>
      <c r="J716" s="1" t="s">
        <v>101</v>
      </c>
      <c r="L716" s="1">
        <v>2461240</v>
      </c>
      <c r="M716" s="1" t="s">
        <v>911</v>
      </c>
      <c r="N716" s="8">
        <f t="shared" si="245"/>
        <v>42796</v>
      </c>
      <c r="O716" s="8">
        <f t="shared" si="246"/>
        <v>44256</v>
      </c>
      <c r="P716" s="1">
        <v>3500</v>
      </c>
      <c r="Q716" s="1">
        <v>3200</v>
      </c>
      <c r="R716" s="1">
        <f t="shared" si="227"/>
        <v>3200</v>
      </c>
      <c r="S716" s="1">
        <v>2.5</v>
      </c>
      <c r="U716" s="1">
        <f t="shared" si="228"/>
        <v>1461</v>
      </c>
      <c r="V716" s="7">
        <f t="shared" si="229"/>
        <v>2.1902806297056809</v>
      </c>
      <c r="W716" s="7">
        <f t="shared" si="230"/>
        <v>799.45242984257357</v>
      </c>
      <c r="X716" s="7">
        <f t="shared" si="231"/>
        <v>0.99931553730321698</v>
      </c>
      <c r="AA716" s="8">
        <f t="shared" si="232"/>
        <v>44927</v>
      </c>
      <c r="AB716" s="8">
        <f t="shared" si="233"/>
        <v>45291</v>
      </c>
      <c r="AC716" s="1">
        <v>11</v>
      </c>
      <c r="AD716" s="1">
        <f t="shared" si="234"/>
        <v>0</v>
      </c>
      <c r="AE716" s="1">
        <f t="shared" si="235"/>
        <v>0</v>
      </c>
      <c r="AF716" s="1">
        <f t="shared" si="236"/>
        <v>0</v>
      </c>
      <c r="AG716" s="1">
        <f t="shared" si="237"/>
        <v>0</v>
      </c>
      <c r="AH716" s="1">
        <f t="shared" si="238"/>
        <v>182.5</v>
      </c>
      <c r="AI716" s="5">
        <f t="shared" si="239"/>
        <v>0.5</v>
      </c>
      <c r="AJ716" s="5">
        <f t="shared" si="240"/>
        <v>0.49965776865160849</v>
      </c>
      <c r="AK716" s="5">
        <f t="shared" si="241"/>
        <v>2.7481177275838466</v>
      </c>
      <c r="AL716" s="5">
        <f t="shared" si="242"/>
        <v>6.8702943189596164</v>
      </c>
      <c r="AM716" s="5">
        <f t="shared" si="243"/>
        <v>0</v>
      </c>
      <c r="AN716" s="5">
        <f t="shared" si="244"/>
        <v>6.8702943189596164</v>
      </c>
      <c r="AO716" s="1" t="s">
        <v>111</v>
      </c>
    </row>
    <row r="717" spans="1:41" x14ac:dyDescent="0.25">
      <c r="A717" s="1" t="s">
        <v>19</v>
      </c>
      <c r="B717" s="1" t="s">
        <v>37</v>
      </c>
      <c r="C717" s="1" t="s">
        <v>21</v>
      </c>
      <c r="D717" s="1" t="s">
        <v>39</v>
      </c>
      <c r="E717" s="1" t="s">
        <v>172</v>
      </c>
      <c r="F717" s="1" t="s">
        <v>534</v>
      </c>
      <c r="G717" s="1" t="s">
        <v>320</v>
      </c>
      <c r="H717" s="1" t="s">
        <v>353</v>
      </c>
      <c r="I717" s="1" t="s">
        <v>174</v>
      </c>
      <c r="J717" s="1" t="s">
        <v>101</v>
      </c>
      <c r="L717" s="1">
        <v>2461241</v>
      </c>
      <c r="M717" s="1" t="s">
        <v>911</v>
      </c>
      <c r="N717" s="8">
        <f t="shared" si="245"/>
        <v>42796</v>
      </c>
      <c r="O717" s="8">
        <f t="shared" si="246"/>
        <v>44256</v>
      </c>
      <c r="P717" s="1">
        <v>3500</v>
      </c>
      <c r="Q717" s="1">
        <v>3200</v>
      </c>
      <c r="R717" s="1">
        <f t="shared" si="227"/>
        <v>3200</v>
      </c>
      <c r="S717" s="1">
        <v>2.5</v>
      </c>
      <c r="U717" s="1">
        <f t="shared" si="228"/>
        <v>1461</v>
      </c>
      <c r="V717" s="7">
        <f t="shared" si="229"/>
        <v>2.1902806297056809</v>
      </c>
      <c r="W717" s="7">
        <f t="shared" si="230"/>
        <v>799.45242984257357</v>
      </c>
      <c r="X717" s="7">
        <f t="shared" si="231"/>
        <v>0.99931553730321698</v>
      </c>
      <c r="AA717" s="8">
        <f t="shared" si="232"/>
        <v>44927</v>
      </c>
      <c r="AB717" s="8">
        <f t="shared" si="233"/>
        <v>45291</v>
      </c>
      <c r="AC717" s="1">
        <v>10</v>
      </c>
      <c r="AD717" s="1">
        <f t="shared" si="234"/>
        <v>0</v>
      </c>
      <c r="AE717" s="1">
        <f t="shared" si="235"/>
        <v>0</v>
      </c>
      <c r="AF717" s="1">
        <f t="shared" si="236"/>
        <v>0</v>
      </c>
      <c r="AG717" s="1">
        <f t="shared" si="237"/>
        <v>0</v>
      </c>
      <c r="AH717" s="1">
        <f t="shared" si="238"/>
        <v>182.5</v>
      </c>
      <c r="AI717" s="5">
        <f t="shared" si="239"/>
        <v>0.5</v>
      </c>
      <c r="AJ717" s="5">
        <f t="shared" si="240"/>
        <v>0.49965776865160849</v>
      </c>
      <c r="AK717" s="5">
        <f t="shared" si="241"/>
        <v>2.4982888432580426</v>
      </c>
      <c r="AL717" s="5">
        <f t="shared" si="242"/>
        <v>6.245722108145106</v>
      </c>
      <c r="AM717" s="5">
        <f t="shared" si="243"/>
        <v>0</v>
      </c>
      <c r="AN717" s="5">
        <f t="shared" si="244"/>
        <v>6.245722108145106</v>
      </c>
      <c r="AO717" s="1" t="s">
        <v>111</v>
      </c>
    </row>
    <row r="718" spans="1:41" x14ac:dyDescent="0.25">
      <c r="A718" s="1" t="s">
        <v>19</v>
      </c>
      <c r="B718" s="1" t="s">
        <v>37</v>
      </c>
      <c r="C718" s="1" t="s">
        <v>21</v>
      </c>
      <c r="D718" s="1" t="s">
        <v>39</v>
      </c>
      <c r="E718" s="1" t="s">
        <v>172</v>
      </c>
      <c r="F718" s="1" t="s">
        <v>534</v>
      </c>
      <c r="G718" s="1" t="s">
        <v>320</v>
      </c>
      <c r="H718" s="1" t="s">
        <v>353</v>
      </c>
      <c r="I718" s="1" t="s">
        <v>174</v>
      </c>
      <c r="J718" s="1" t="s">
        <v>101</v>
      </c>
      <c r="L718" s="1">
        <v>2461242</v>
      </c>
      <c r="M718" s="1" t="s">
        <v>911</v>
      </c>
      <c r="N718" s="8">
        <f t="shared" si="245"/>
        <v>42796</v>
      </c>
      <c r="O718" s="8">
        <f t="shared" si="246"/>
        <v>44256</v>
      </c>
      <c r="P718" s="1">
        <v>3500</v>
      </c>
      <c r="Q718" s="1">
        <v>3200</v>
      </c>
      <c r="R718" s="1">
        <f t="shared" si="227"/>
        <v>3200</v>
      </c>
      <c r="S718" s="1">
        <v>2.5</v>
      </c>
      <c r="U718" s="1">
        <f t="shared" si="228"/>
        <v>1461</v>
      </c>
      <c r="V718" s="7">
        <f t="shared" si="229"/>
        <v>2.1902806297056809</v>
      </c>
      <c r="W718" s="7">
        <f t="shared" si="230"/>
        <v>799.45242984257357</v>
      </c>
      <c r="X718" s="7">
        <f t="shared" si="231"/>
        <v>0.99931553730321698</v>
      </c>
      <c r="AA718" s="8">
        <f t="shared" si="232"/>
        <v>44927</v>
      </c>
      <c r="AB718" s="8">
        <f t="shared" si="233"/>
        <v>45291</v>
      </c>
      <c r="AC718" s="1">
        <v>2</v>
      </c>
      <c r="AD718" s="1">
        <f t="shared" si="234"/>
        <v>0</v>
      </c>
      <c r="AE718" s="1">
        <f t="shared" si="235"/>
        <v>0</v>
      </c>
      <c r="AF718" s="1">
        <f t="shared" si="236"/>
        <v>0</v>
      </c>
      <c r="AG718" s="1">
        <f t="shared" si="237"/>
        <v>0</v>
      </c>
      <c r="AH718" s="1">
        <f t="shared" si="238"/>
        <v>182.5</v>
      </c>
      <c r="AI718" s="5">
        <f t="shared" si="239"/>
        <v>0.5</v>
      </c>
      <c r="AJ718" s="5">
        <f t="shared" si="240"/>
        <v>0.49965776865160849</v>
      </c>
      <c r="AK718" s="5">
        <f t="shared" si="241"/>
        <v>0.49965776865160849</v>
      </c>
      <c r="AL718" s="5">
        <f t="shared" si="242"/>
        <v>1.2491444216290213</v>
      </c>
      <c r="AM718" s="5">
        <f t="shared" si="243"/>
        <v>0</v>
      </c>
      <c r="AN718" s="5">
        <f t="shared" si="244"/>
        <v>1.2491444216290213</v>
      </c>
      <c r="AO718" s="1" t="s">
        <v>111</v>
      </c>
    </row>
    <row r="719" spans="1:41" x14ac:dyDescent="0.25">
      <c r="A719" s="1" t="s">
        <v>19</v>
      </c>
      <c r="B719" s="1" t="s">
        <v>37</v>
      </c>
      <c r="C719" s="1" t="s">
        <v>21</v>
      </c>
      <c r="D719" s="1" t="s">
        <v>39</v>
      </c>
      <c r="E719" s="1" t="s">
        <v>172</v>
      </c>
      <c r="F719" s="1" t="s">
        <v>534</v>
      </c>
      <c r="G719" s="1" t="s">
        <v>320</v>
      </c>
      <c r="H719" s="1" t="s">
        <v>353</v>
      </c>
      <c r="I719" s="1" t="s">
        <v>174</v>
      </c>
      <c r="J719" s="1" t="s">
        <v>101</v>
      </c>
      <c r="L719" s="1">
        <v>2461243</v>
      </c>
      <c r="M719" s="1" t="s">
        <v>911</v>
      </c>
      <c r="N719" s="8">
        <f t="shared" si="245"/>
        <v>42796</v>
      </c>
      <c r="O719" s="8">
        <f t="shared" si="246"/>
        <v>44256</v>
      </c>
      <c r="P719" s="1">
        <v>3500</v>
      </c>
      <c r="Q719" s="1">
        <v>3200</v>
      </c>
      <c r="R719" s="1">
        <f t="shared" si="227"/>
        <v>3200</v>
      </c>
      <c r="S719" s="1">
        <v>2.5</v>
      </c>
      <c r="U719" s="1">
        <f t="shared" si="228"/>
        <v>1461</v>
      </c>
      <c r="V719" s="7">
        <f t="shared" si="229"/>
        <v>2.1902806297056809</v>
      </c>
      <c r="W719" s="7">
        <f t="shared" si="230"/>
        <v>799.45242984257357</v>
      </c>
      <c r="X719" s="7">
        <f t="shared" si="231"/>
        <v>0.99931553730321698</v>
      </c>
      <c r="AA719" s="8">
        <f t="shared" si="232"/>
        <v>44927</v>
      </c>
      <c r="AB719" s="8">
        <f t="shared" si="233"/>
        <v>45291</v>
      </c>
      <c r="AC719" s="1">
        <v>21</v>
      </c>
      <c r="AD719" s="1">
        <f t="shared" si="234"/>
        <v>0</v>
      </c>
      <c r="AE719" s="1">
        <f t="shared" si="235"/>
        <v>0</v>
      </c>
      <c r="AF719" s="1">
        <f t="shared" si="236"/>
        <v>0</v>
      </c>
      <c r="AG719" s="1">
        <f t="shared" si="237"/>
        <v>0</v>
      </c>
      <c r="AH719" s="1">
        <f t="shared" si="238"/>
        <v>182.5</v>
      </c>
      <c r="AI719" s="5">
        <f t="shared" si="239"/>
        <v>0.5</v>
      </c>
      <c r="AJ719" s="5">
        <f t="shared" si="240"/>
        <v>0.49965776865160849</v>
      </c>
      <c r="AK719" s="5">
        <f t="shared" si="241"/>
        <v>5.2464065708418888</v>
      </c>
      <c r="AL719" s="5">
        <f t="shared" si="242"/>
        <v>13.116016427104721</v>
      </c>
      <c r="AM719" s="5">
        <f t="shared" si="243"/>
        <v>0</v>
      </c>
      <c r="AN719" s="5">
        <f t="shared" si="244"/>
        <v>13.116016427104721</v>
      </c>
      <c r="AO719" s="1" t="s">
        <v>111</v>
      </c>
    </row>
    <row r="720" spans="1:41" x14ac:dyDescent="0.25">
      <c r="A720" s="1" t="s">
        <v>19</v>
      </c>
      <c r="B720" s="1" t="s">
        <v>37</v>
      </c>
      <c r="C720" s="1" t="s">
        <v>21</v>
      </c>
      <c r="D720" s="1" t="s">
        <v>39</v>
      </c>
      <c r="E720" s="1" t="s">
        <v>172</v>
      </c>
      <c r="F720" s="1" t="s">
        <v>534</v>
      </c>
      <c r="G720" s="1" t="s">
        <v>320</v>
      </c>
      <c r="H720" s="1" t="s">
        <v>353</v>
      </c>
      <c r="I720" s="1" t="s">
        <v>174</v>
      </c>
      <c r="J720" s="1" t="s">
        <v>101</v>
      </c>
      <c r="L720" s="1">
        <v>2461244</v>
      </c>
      <c r="M720" s="1" t="s">
        <v>911</v>
      </c>
      <c r="N720" s="8">
        <f t="shared" si="245"/>
        <v>42796</v>
      </c>
      <c r="O720" s="8">
        <f t="shared" si="246"/>
        <v>44256</v>
      </c>
      <c r="P720" s="1">
        <v>3500</v>
      </c>
      <c r="Q720" s="1">
        <v>3200</v>
      </c>
      <c r="R720" s="1">
        <f t="shared" si="227"/>
        <v>3200</v>
      </c>
      <c r="S720" s="1">
        <v>2.5</v>
      </c>
      <c r="U720" s="1">
        <f t="shared" si="228"/>
        <v>1461</v>
      </c>
      <c r="V720" s="7">
        <f t="shared" si="229"/>
        <v>2.1902806297056809</v>
      </c>
      <c r="W720" s="7">
        <f t="shared" si="230"/>
        <v>799.45242984257357</v>
      </c>
      <c r="X720" s="7">
        <f t="shared" si="231"/>
        <v>0.99931553730321698</v>
      </c>
      <c r="AA720" s="8">
        <f t="shared" si="232"/>
        <v>44927</v>
      </c>
      <c r="AB720" s="8">
        <f t="shared" si="233"/>
        <v>45291</v>
      </c>
      <c r="AC720" s="1">
        <v>6</v>
      </c>
      <c r="AD720" s="1">
        <f t="shared" si="234"/>
        <v>0</v>
      </c>
      <c r="AE720" s="1">
        <f t="shared" si="235"/>
        <v>0</v>
      </c>
      <c r="AF720" s="1">
        <f t="shared" si="236"/>
        <v>0</v>
      </c>
      <c r="AG720" s="1">
        <f t="shared" si="237"/>
        <v>0</v>
      </c>
      <c r="AH720" s="1">
        <f t="shared" si="238"/>
        <v>182.5</v>
      </c>
      <c r="AI720" s="5">
        <f t="shared" si="239"/>
        <v>0.5</v>
      </c>
      <c r="AJ720" s="5">
        <f t="shared" si="240"/>
        <v>0.49965776865160849</v>
      </c>
      <c r="AK720" s="5">
        <f t="shared" si="241"/>
        <v>1.4989733059548254</v>
      </c>
      <c r="AL720" s="5">
        <f t="shared" si="242"/>
        <v>3.7474332648870634</v>
      </c>
      <c r="AM720" s="5">
        <f t="shared" si="243"/>
        <v>0</v>
      </c>
      <c r="AN720" s="5">
        <f t="shared" si="244"/>
        <v>3.7474332648870634</v>
      </c>
      <c r="AO720" s="1" t="s">
        <v>111</v>
      </c>
    </row>
    <row r="721" spans="1:41" x14ac:dyDescent="0.25">
      <c r="A721" s="1" t="s">
        <v>19</v>
      </c>
      <c r="B721" s="1" t="s">
        <v>37</v>
      </c>
      <c r="C721" s="1" t="s">
        <v>21</v>
      </c>
      <c r="D721" s="1" t="s">
        <v>39</v>
      </c>
      <c r="E721" s="1" t="s">
        <v>172</v>
      </c>
      <c r="F721" s="1" t="s">
        <v>534</v>
      </c>
      <c r="G721" s="1" t="s">
        <v>320</v>
      </c>
      <c r="H721" s="1" t="s">
        <v>353</v>
      </c>
      <c r="I721" s="1" t="s">
        <v>174</v>
      </c>
      <c r="J721" s="1" t="s">
        <v>101</v>
      </c>
      <c r="L721" s="1">
        <v>2461245</v>
      </c>
      <c r="M721" s="1" t="s">
        <v>911</v>
      </c>
      <c r="N721" s="8">
        <f t="shared" si="245"/>
        <v>42796</v>
      </c>
      <c r="O721" s="8">
        <f t="shared" si="246"/>
        <v>44256</v>
      </c>
      <c r="P721" s="1">
        <v>3500</v>
      </c>
      <c r="Q721" s="1">
        <v>3200</v>
      </c>
      <c r="R721" s="1">
        <f t="shared" si="227"/>
        <v>3200</v>
      </c>
      <c r="S721" s="1">
        <v>2.5</v>
      </c>
      <c r="U721" s="1">
        <f t="shared" si="228"/>
        <v>1461</v>
      </c>
      <c r="V721" s="7">
        <f t="shared" si="229"/>
        <v>2.1902806297056809</v>
      </c>
      <c r="W721" s="7">
        <f t="shared" si="230"/>
        <v>799.45242984257357</v>
      </c>
      <c r="X721" s="7">
        <f t="shared" si="231"/>
        <v>0.99931553730321698</v>
      </c>
      <c r="AA721" s="8">
        <f t="shared" si="232"/>
        <v>44927</v>
      </c>
      <c r="AB721" s="8">
        <f t="shared" si="233"/>
        <v>45291</v>
      </c>
      <c r="AC721" s="1">
        <v>12</v>
      </c>
      <c r="AD721" s="1">
        <f t="shared" si="234"/>
        <v>0</v>
      </c>
      <c r="AE721" s="1">
        <f t="shared" si="235"/>
        <v>0</v>
      </c>
      <c r="AF721" s="1">
        <f t="shared" si="236"/>
        <v>0</v>
      </c>
      <c r="AG721" s="1">
        <f t="shared" si="237"/>
        <v>0</v>
      </c>
      <c r="AH721" s="1">
        <f t="shared" si="238"/>
        <v>182.5</v>
      </c>
      <c r="AI721" s="5">
        <f t="shared" si="239"/>
        <v>0.5</v>
      </c>
      <c r="AJ721" s="5">
        <f t="shared" si="240"/>
        <v>0.49965776865160849</v>
      </c>
      <c r="AK721" s="5">
        <f t="shared" si="241"/>
        <v>2.9979466119096507</v>
      </c>
      <c r="AL721" s="5">
        <f t="shared" si="242"/>
        <v>7.4948665297741268</v>
      </c>
      <c r="AM721" s="5">
        <f t="shared" si="243"/>
        <v>0</v>
      </c>
      <c r="AN721" s="5">
        <f t="shared" si="244"/>
        <v>7.4948665297741268</v>
      </c>
      <c r="AO721" s="1" t="s">
        <v>111</v>
      </c>
    </row>
    <row r="722" spans="1:41" x14ac:dyDescent="0.25">
      <c r="A722" s="1" t="s">
        <v>19</v>
      </c>
      <c r="B722" s="1" t="s">
        <v>37</v>
      </c>
      <c r="C722" s="1" t="s">
        <v>21</v>
      </c>
      <c r="D722" s="1" t="s">
        <v>39</v>
      </c>
      <c r="E722" s="1" t="s">
        <v>172</v>
      </c>
      <c r="F722" s="1" t="s">
        <v>534</v>
      </c>
      <c r="G722" s="1" t="s">
        <v>320</v>
      </c>
      <c r="H722" s="1" t="s">
        <v>353</v>
      </c>
      <c r="I722" s="1" t="s">
        <v>174</v>
      </c>
      <c r="J722" s="1" t="s">
        <v>101</v>
      </c>
      <c r="L722" s="1">
        <v>2461246</v>
      </c>
      <c r="M722" s="1" t="s">
        <v>911</v>
      </c>
      <c r="N722" s="8">
        <f t="shared" si="245"/>
        <v>42796</v>
      </c>
      <c r="O722" s="8">
        <f t="shared" si="246"/>
        <v>44256</v>
      </c>
      <c r="P722" s="1">
        <v>3500</v>
      </c>
      <c r="Q722" s="1">
        <v>3200</v>
      </c>
      <c r="R722" s="1">
        <f t="shared" si="227"/>
        <v>3200</v>
      </c>
      <c r="S722" s="1">
        <v>2.5</v>
      </c>
      <c r="U722" s="1">
        <f t="shared" si="228"/>
        <v>1461</v>
      </c>
      <c r="V722" s="7">
        <f t="shared" si="229"/>
        <v>2.1902806297056809</v>
      </c>
      <c r="W722" s="7">
        <f t="shared" si="230"/>
        <v>799.45242984257357</v>
      </c>
      <c r="X722" s="7">
        <f t="shared" si="231"/>
        <v>0.99931553730321698</v>
      </c>
      <c r="AA722" s="8">
        <f t="shared" si="232"/>
        <v>44927</v>
      </c>
      <c r="AB722" s="8">
        <f t="shared" si="233"/>
        <v>45291</v>
      </c>
      <c r="AC722" s="1">
        <v>3</v>
      </c>
      <c r="AD722" s="1">
        <f t="shared" si="234"/>
        <v>0</v>
      </c>
      <c r="AE722" s="1">
        <f t="shared" si="235"/>
        <v>0</v>
      </c>
      <c r="AF722" s="1">
        <f t="shared" si="236"/>
        <v>0</v>
      </c>
      <c r="AG722" s="1">
        <f t="shared" si="237"/>
        <v>0</v>
      </c>
      <c r="AH722" s="1">
        <f t="shared" si="238"/>
        <v>182.5</v>
      </c>
      <c r="AI722" s="5">
        <f t="shared" si="239"/>
        <v>0.5</v>
      </c>
      <c r="AJ722" s="5">
        <f t="shared" si="240"/>
        <v>0.49965776865160849</v>
      </c>
      <c r="AK722" s="5">
        <f t="shared" si="241"/>
        <v>0.74948665297741268</v>
      </c>
      <c r="AL722" s="5">
        <f t="shared" si="242"/>
        <v>1.8737166324435317</v>
      </c>
      <c r="AM722" s="5">
        <f t="shared" si="243"/>
        <v>0</v>
      </c>
      <c r="AN722" s="5">
        <f t="shared" si="244"/>
        <v>1.8737166324435317</v>
      </c>
      <c r="AO722" s="1" t="s">
        <v>111</v>
      </c>
    </row>
    <row r="723" spans="1:41" x14ac:dyDescent="0.25">
      <c r="A723" s="1" t="s">
        <v>19</v>
      </c>
      <c r="B723" s="1" t="s">
        <v>37</v>
      </c>
      <c r="C723" s="1" t="s">
        <v>21</v>
      </c>
      <c r="D723" s="1" t="s">
        <v>39</v>
      </c>
      <c r="E723" s="1" t="s">
        <v>172</v>
      </c>
      <c r="F723" s="1" t="s">
        <v>534</v>
      </c>
      <c r="G723" s="1" t="s">
        <v>320</v>
      </c>
      <c r="H723" s="1" t="s">
        <v>353</v>
      </c>
      <c r="I723" s="1" t="s">
        <v>174</v>
      </c>
      <c r="J723" s="1" t="s">
        <v>101</v>
      </c>
      <c r="L723" s="1">
        <v>2461248</v>
      </c>
      <c r="M723" s="1" t="s">
        <v>911</v>
      </c>
      <c r="N723" s="8">
        <f t="shared" si="245"/>
        <v>42796</v>
      </c>
      <c r="O723" s="8">
        <f t="shared" si="246"/>
        <v>44256</v>
      </c>
      <c r="P723" s="1">
        <v>3500</v>
      </c>
      <c r="Q723" s="1">
        <v>3200</v>
      </c>
      <c r="R723" s="1">
        <f t="shared" si="227"/>
        <v>3200</v>
      </c>
      <c r="S723" s="1">
        <v>2.5</v>
      </c>
      <c r="U723" s="1">
        <f t="shared" si="228"/>
        <v>1461</v>
      </c>
      <c r="V723" s="7">
        <f t="shared" si="229"/>
        <v>2.1902806297056809</v>
      </c>
      <c r="W723" s="7">
        <f t="shared" si="230"/>
        <v>799.45242984257357</v>
      </c>
      <c r="X723" s="7">
        <f t="shared" si="231"/>
        <v>0.99931553730321698</v>
      </c>
      <c r="AA723" s="8">
        <f t="shared" si="232"/>
        <v>44927</v>
      </c>
      <c r="AB723" s="8">
        <f t="shared" si="233"/>
        <v>45291</v>
      </c>
      <c r="AC723" s="1">
        <v>15</v>
      </c>
      <c r="AD723" s="1">
        <f t="shared" si="234"/>
        <v>0</v>
      </c>
      <c r="AE723" s="1">
        <f t="shared" si="235"/>
        <v>0</v>
      </c>
      <c r="AF723" s="1">
        <f t="shared" si="236"/>
        <v>0</v>
      </c>
      <c r="AG723" s="1">
        <f t="shared" si="237"/>
        <v>0</v>
      </c>
      <c r="AH723" s="1">
        <f t="shared" si="238"/>
        <v>182.5</v>
      </c>
      <c r="AI723" s="5">
        <f t="shared" si="239"/>
        <v>0.5</v>
      </c>
      <c r="AJ723" s="5">
        <f t="shared" si="240"/>
        <v>0.49965776865160849</v>
      </c>
      <c r="AK723" s="5">
        <f t="shared" si="241"/>
        <v>3.7474332648870639</v>
      </c>
      <c r="AL723" s="5">
        <f t="shared" si="242"/>
        <v>9.368583162217659</v>
      </c>
      <c r="AM723" s="5">
        <f t="shared" si="243"/>
        <v>0</v>
      </c>
      <c r="AN723" s="5">
        <f t="shared" si="244"/>
        <v>9.368583162217659</v>
      </c>
      <c r="AO723" s="1" t="s">
        <v>111</v>
      </c>
    </row>
    <row r="724" spans="1:41" x14ac:dyDescent="0.25">
      <c r="A724" s="1" t="s">
        <v>19</v>
      </c>
      <c r="B724" s="1" t="s">
        <v>37</v>
      </c>
      <c r="C724" s="1" t="s">
        <v>21</v>
      </c>
      <c r="D724" s="1" t="s">
        <v>39</v>
      </c>
      <c r="E724" s="1" t="s">
        <v>172</v>
      </c>
      <c r="F724" s="1" t="s">
        <v>534</v>
      </c>
      <c r="G724" s="1" t="s">
        <v>320</v>
      </c>
      <c r="H724" s="1" t="s">
        <v>353</v>
      </c>
      <c r="I724" s="1" t="s">
        <v>174</v>
      </c>
      <c r="J724" s="1" t="s">
        <v>101</v>
      </c>
      <c r="L724" s="1">
        <v>2461251</v>
      </c>
      <c r="M724" s="1" t="s">
        <v>911</v>
      </c>
      <c r="N724" s="8">
        <f t="shared" si="245"/>
        <v>42796</v>
      </c>
      <c r="O724" s="8">
        <f t="shared" si="246"/>
        <v>44256</v>
      </c>
      <c r="P724" s="1">
        <v>3500</v>
      </c>
      <c r="Q724" s="1">
        <v>3200</v>
      </c>
      <c r="R724" s="1">
        <f t="shared" si="227"/>
        <v>3200</v>
      </c>
      <c r="S724" s="1">
        <v>2.5</v>
      </c>
      <c r="U724" s="1">
        <f t="shared" si="228"/>
        <v>1461</v>
      </c>
      <c r="V724" s="7">
        <f t="shared" si="229"/>
        <v>2.1902806297056809</v>
      </c>
      <c r="W724" s="7">
        <f t="shared" si="230"/>
        <v>799.45242984257357</v>
      </c>
      <c r="X724" s="7">
        <f t="shared" si="231"/>
        <v>0.99931553730321698</v>
      </c>
      <c r="AA724" s="8">
        <f t="shared" si="232"/>
        <v>44927</v>
      </c>
      <c r="AB724" s="8">
        <f t="shared" si="233"/>
        <v>45291</v>
      </c>
      <c r="AC724" s="1">
        <v>8</v>
      </c>
      <c r="AD724" s="1">
        <f t="shared" si="234"/>
        <v>0</v>
      </c>
      <c r="AE724" s="1">
        <f t="shared" si="235"/>
        <v>0</v>
      </c>
      <c r="AF724" s="1">
        <f t="shared" si="236"/>
        <v>0</v>
      </c>
      <c r="AG724" s="1">
        <f t="shared" si="237"/>
        <v>0</v>
      </c>
      <c r="AH724" s="1">
        <f t="shared" si="238"/>
        <v>182.5</v>
      </c>
      <c r="AI724" s="5">
        <f t="shared" si="239"/>
        <v>0.5</v>
      </c>
      <c r="AJ724" s="5">
        <f t="shared" si="240"/>
        <v>0.49965776865160849</v>
      </c>
      <c r="AK724" s="5">
        <f t="shared" si="241"/>
        <v>1.998631074606434</v>
      </c>
      <c r="AL724" s="5">
        <f t="shared" si="242"/>
        <v>4.9965776865160851</v>
      </c>
      <c r="AM724" s="5">
        <f t="shared" si="243"/>
        <v>0</v>
      </c>
      <c r="AN724" s="5">
        <f t="shared" si="244"/>
        <v>4.9965776865160851</v>
      </c>
      <c r="AO724" s="1" t="s">
        <v>111</v>
      </c>
    </row>
    <row r="725" spans="1:41" x14ac:dyDescent="0.25">
      <c r="A725" s="1" t="s">
        <v>19</v>
      </c>
      <c r="B725" s="1" t="s">
        <v>37</v>
      </c>
      <c r="C725" s="1" t="s">
        <v>21</v>
      </c>
      <c r="D725" s="1" t="s">
        <v>39</v>
      </c>
      <c r="E725" s="1" t="s">
        <v>172</v>
      </c>
      <c r="F725" s="1" t="s">
        <v>534</v>
      </c>
      <c r="G725" s="1" t="s">
        <v>320</v>
      </c>
      <c r="H725" s="1" t="s">
        <v>321</v>
      </c>
      <c r="I725" s="1" t="s">
        <v>174</v>
      </c>
      <c r="J725" s="1" t="s">
        <v>101</v>
      </c>
      <c r="L725" s="1">
        <v>2461410</v>
      </c>
      <c r="M725" s="1" t="s">
        <v>910</v>
      </c>
      <c r="N725" s="8">
        <f t="shared" si="245"/>
        <v>42796</v>
      </c>
      <c r="O725" s="8">
        <f t="shared" si="246"/>
        <v>44256</v>
      </c>
      <c r="P725" s="1">
        <v>3470</v>
      </c>
      <c r="Q725" s="1">
        <v>3200</v>
      </c>
      <c r="R725" s="1">
        <f t="shared" si="227"/>
        <v>3200</v>
      </c>
      <c r="S725" s="1">
        <v>2.5</v>
      </c>
      <c r="U725" s="1">
        <f t="shared" si="228"/>
        <v>1461</v>
      </c>
      <c r="V725" s="7">
        <f t="shared" si="229"/>
        <v>2.1902806297056809</v>
      </c>
      <c r="W725" s="7">
        <f t="shared" si="230"/>
        <v>799.45242984257357</v>
      </c>
      <c r="X725" s="7">
        <f t="shared" si="231"/>
        <v>0.99931553730321698</v>
      </c>
      <c r="AA725" s="8">
        <f t="shared" si="232"/>
        <v>44927</v>
      </c>
      <c r="AB725" s="8">
        <f t="shared" si="233"/>
        <v>45291</v>
      </c>
      <c r="AC725" s="1">
        <v>7</v>
      </c>
      <c r="AD725" s="1">
        <f t="shared" si="234"/>
        <v>0</v>
      </c>
      <c r="AE725" s="1">
        <f t="shared" si="235"/>
        <v>0</v>
      </c>
      <c r="AF725" s="1">
        <f t="shared" si="236"/>
        <v>0</v>
      </c>
      <c r="AG725" s="1">
        <f t="shared" si="237"/>
        <v>0</v>
      </c>
      <c r="AH725" s="1">
        <f t="shared" si="238"/>
        <v>182.5</v>
      </c>
      <c r="AI725" s="5">
        <f t="shared" si="239"/>
        <v>0.5</v>
      </c>
      <c r="AJ725" s="5">
        <f t="shared" si="240"/>
        <v>0.49965776865160849</v>
      </c>
      <c r="AK725" s="5">
        <f t="shared" si="241"/>
        <v>1.7488021902806297</v>
      </c>
      <c r="AL725" s="5">
        <f t="shared" si="242"/>
        <v>4.3720054757015738</v>
      </c>
      <c r="AM725" s="5">
        <f t="shared" si="243"/>
        <v>0</v>
      </c>
      <c r="AN725" s="5">
        <f t="shared" si="244"/>
        <v>4.3720054757015738</v>
      </c>
      <c r="AO725" s="1" t="s">
        <v>111</v>
      </c>
    </row>
    <row r="726" spans="1:41" x14ac:dyDescent="0.25">
      <c r="A726" s="1" t="s">
        <v>19</v>
      </c>
      <c r="B726" s="1" t="s">
        <v>37</v>
      </c>
      <c r="C726" s="1" t="s">
        <v>21</v>
      </c>
      <c r="D726" s="1" t="s">
        <v>39</v>
      </c>
      <c r="E726" s="1" t="s">
        <v>96</v>
      </c>
      <c r="F726" s="1" t="s">
        <v>103</v>
      </c>
      <c r="G726" s="1" t="s">
        <v>98</v>
      </c>
      <c r="H726" s="1" t="s">
        <v>878</v>
      </c>
      <c r="I726" s="1" t="s">
        <v>255</v>
      </c>
      <c r="J726" s="1" t="s">
        <v>101</v>
      </c>
      <c r="L726" s="1">
        <v>2442742</v>
      </c>
      <c r="M726" s="1" t="s">
        <v>912</v>
      </c>
      <c r="N726" s="8">
        <f>DATE(2017,8,7)</f>
        <v>42954</v>
      </c>
      <c r="O726" s="8">
        <f>DATE(2022,7,18)</f>
        <v>44760</v>
      </c>
      <c r="P726" s="1">
        <v>4020</v>
      </c>
      <c r="Q726" s="1">
        <v>3600</v>
      </c>
      <c r="R726" s="1">
        <f t="shared" si="227"/>
        <v>3600</v>
      </c>
      <c r="S726" s="1">
        <v>2.5</v>
      </c>
      <c r="U726" s="1">
        <f t="shared" si="228"/>
        <v>1807</v>
      </c>
      <c r="V726" s="7">
        <f t="shared" si="229"/>
        <v>1.9922523519645823</v>
      </c>
      <c r="W726" s="7">
        <f t="shared" si="230"/>
        <v>727.17210846707258</v>
      </c>
      <c r="X726" s="7">
        <f t="shared" si="231"/>
        <v>0.90896513558384073</v>
      </c>
      <c r="AA726" s="8">
        <f t="shared" si="232"/>
        <v>44927</v>
      </c>
      <c r="AB726" s="8">
        <f t="shared" si="233"/>
        <v>45291</v>
      </c>
      <c r="AC726" s="1">
        <v>5</v>
      </c>
      <c r="AD726" s="1">
        <f t="shared" si="234"/>
        <v>0</v>
      </c>
      <c r="AE726" s="1">
        <f t="shared" si="235"/>
        <v>0</v>
      </c>
      <c r="AF726" s="1">
        <f t="shared" si="236"/>
        <v>0</v>
      </c>
      <c r="AG726" s="1">
        <f t="shared" si="237"/>
        <v>0</v>
      </c>
      <c r="AH726" s="1">
        <f t="shared" si="238"/>
        <v>182.5</v>
      </c>
      <c r="AI726" s="5">
        <f t="shared" si="239"/>
        <v>0.5</v>
      </c>
      <c r="AJ726" s="5">
        <f t="shared" si="240"/>
        <v>0.45448256779192037</v>
      </c>
      <c r="AK726" s="5">
        <f t="shared" si="241"/>
        <v>1.1362064194798009</v>
      </c>
      <c r="AL726" s="5">
        <f t="shared" si="242"/>
        <v>2.8405160486995022</v>
      </c>
      <c r="AM726" s="5">
        <f t="shared" si="243"/>
        <v>0</v>
      </c>
      <c r="AN726" s="5">
        <f t="shared" si="244"/>
        <v>2.8405160486995022</v>
      </c>
      <c r="AO726" s="1" t="s">
        <v>102</v>
      </c>
    </row>
    <row r="727" spans="1:41" x14ac:dyDescent="0.25">
      <c r="A727" s="1" t="s">
        <v>19</v>
      </c>
      <c r="B727" s="1" t="s">
        <v>37</v>
      </c>
      <c r="C727" s="1" t="s">
        <v>21</v>
      </c>
      <c r="D727" s="1" t="s">
        <v>39</v>
      </c>
      <c r="E727" s="1" t="s">
        <v>96</v>
      </c>
      <c r="F727" s="1" t="s">
        <v>103</v>
      </c>
      <c r="G727" s="1" t="s">
        <v>127</v>
      </c>
      <c r="H727" s="1" t="s">
        <v>872</v>
      </c>
      <c r="I727" s="1" t="s">
        <v>157</v>
      </c>
      <c r="J727" s="1" t="s">
        <v>101</v>
      </c>
      <c r="L727" s="1">
        <v>2442805</v>
      </c>
      <c r="M727" s="1" t="s">
        <v>913</v>
      </c>
      <c r="N727" s="8">
        <f>DATE(2017,8,7)</f>
        <v>42954</v>
      </c>
      <c r="O727" s="8">
        <f>DATE(2020,7,30)</f>
        <v>44042</v>
      </c>
      <c r="P727" s="1">
        <v>2160</v>
      </c>
      <c r="Q727" s="1">
        <v>1600</v>
      </c>
      <c r="R727" s="1">
        <f t="shared" si="227"/>
        <v>1600</v>
      </c>
      <c r="S727" s="1">
        <v>1</v>
      </c>
      <c r="U727" s="1">
        <f t="shared" si="228"/>
        <v>1089</v>
      </c>
      <c r="V727" s="7">
        <f t="shared" si="229"/>
        <v>1.4692378328741964</v>
      </c>
      <c r="W727" s="7">
        <f t="shared" si="230"/>
        <v>536.27180899908171</v>
      </c>
      <c r="X727" s="7">
        <f t="shared" si="231"/>
        <v>0.6703397612488522</v>
      </c>
      <c r="AA727" s="8">
        <f t="shared" si="232"/>
        <v>44927</v>
      </c>
      <c r="AB727" s="8">
        <f t="shared" si="233"/>
        <v>45291</v>
      </c>
      <c r="AC727" s="1">
        <v>5</v>
      </c>
      <c r="AD727" s="1">
        <f t="shared" si="234"/>
        <v>0</v>
      </c>
      <c r="AE727" s="1">
        <f t="shared" si="235"/>
        <v>0</v>
      </c>
      <c r="AF727" s="1">
        <f t="shared" si="236"/>
        <v>0</v>
      </c>
      <c r="AG727" s="1">
        <f t="shared" si="237"/>
        <v>0</v>
      </c>
      <c r="AH727" s="1">
        <f t="shared" si="238"/>
        <v>182.5</v>
      </c>
      <c r="AI727" s="5">
        <f t="shared" si="239"/>
        <v>0.5</v>
      </c>
      <c r="AJ727" s="5">
        <f t="shared" si="240"/>
        <v>0.3351698806244261</v>
      </c>
      <c r="AK727" s="5">
        <f t="shared" si="241"/>
        <v>0.83792470156106524</v>
      </c>
      <c r="AL727" s="5">
        <f t="shared" si="242"/>
        <v>0.83792470156106524</v>
      </c>
      <c r="AM727" s="5">
        <f t="shared" si="243"/>
        <v>0</v>
      </c>
      <c r="AN727" s="5">
        <f t="shared" si="244"/>
        <v>0.83792470156106524</v>
      </c>
      <c r="AO727" s="1" t="s">
        <v>102</v>
      </c>
    </row>
    <row r="728" spans="1:41" x14ac:dyDescent="0.25">
      <c r="A728" s="1" t="s">
        <v>19</v>
      </c>
      <c r="B728" s="1" t="s">
        <v>37</v>
      </c>
      <c r="C728" s="1" t="s">
        <v>21</v>
      </c>
      <c r="D728" s="1" t="s">
        <v>39</v>
      </c>
      <c r="E728" s="1" t="s">
        <v>96</v>
      </c>
      <c r="F728" s="1" t="s">
        <v>103</v>
      </c>
      <c r="G728" s="1" t="s">
        <v>114</v>
      </c>
      <c r="H728" s="1" t="s">
        <v>254</v>
      </c>
      <c r="I728" s="1" t="s">
        <v>255</v>
      </c>
      <c r="J728" s="1" t="s">
        <v>101</v>
      </c>
      <c r="K728" s="1" t="s">
        <v>175</v>
      </c>
      <c r="L728" s="1">
        <v>2443381</v>
      </c>
      <c r="M728" s="1" t="s">
        <v>914</v>
      </c>
      <c r="N728" s="8">
        <f>DATE(2017,8,7)</f>
        <v>42954</v>
      </c>
      <c r="O728" s="8">
        <f>DATE(2019,7,17)</f>
        <v>43663</v>
      </c>
      <c r="P728" s="1">
        <v>1367</v>
      </c>
      <c r="Q728" s="1">
        <v>1200</v>
      </c>
      <c r="R728" s="1">
        <f t="shared" si="227"/>
        <v>1200</v>
      </c>
      <c r="S728" s="1">
        <v>2.5</v>
      </c>
      <c r="U728" s="1">
        <f t="shared" si="228"/>
        <v>710</v>
      </c>
      <c r="V728" s="7">
        <f t="shared" si="229"/>
        <v>1.6901408450704225</v>
      </c>
      <c r="W728" s="7">
        <f t="shared" si="230"/>
        <v>616.90140845070425</v>
      </c>
      <c r="X728" s="7">
        <f t="shared" si="231"/>
        <v>0.77112676056338036</v>
      </c>
      <c r="AA728" s="8">
        <f t="shared" si="232"/>
        <v>44927</v>
      </c>
      <c r="AB728" s="8">
        <f t="shared" si="233"/>
        <v>45291</v>
      </c>
      <c r="AC728" s="1">
        <v>0</v>
      </c>
      <c r="AD728" s="1">
        <f t="shared" si="234"/>
        <v>0</v>
      </c>
      <c r="AE728" s="1">
        <f t="shared" si="235"/>
        <v>0</v>
      </c>
      <c r="AF728" s="1">
        <f t="shared" si="236"/>
        <v>0</v>
      </c>
      <c r="AG728" s="1">
        <f t="shared" si="237"/>
        <v>0</v>
      </c>
      <c r="AH728" s="1">
        <f t="shared" si="238"/>
        <v>182.5</v>
      </c>
      <c r="AI728" s="5">
        <f t="shared" si="239"/>
        <v>0.5</v>
      </c>
      <c r="AJ728" s="5">
        <f t="shared" si="240"/>
        <v>0.38556338028169018</v>
      </c>
      <c r="AK728" s="5">
        <f t="shared" si="241"/>
        <v>0</v>
      </c>
      <c r="AL728" s="5">
        <f t="shared" si="242"/>
        <v>0</v>
      </c>
      <c r="AM728" s="5">
        <f t="shared" si="243"/>
        <v>0</v>
      </c>
      <c r="AN728" s="5">
        <f t="shared" si="244"/>
        <v>0</v>
      </c>
      <c r="AO728" s="1" t="s">
        <v>102</v>
      </c>
    </row>
    <row r="729" spans="1:41" x14ac:dyDescent="0.25">
      <c r="A729" s="1" t="s">
        <v>19</v>
      </c>
      <c r="B729" s="1" t="s">
        <v>37</v>
      </c>
      <c r="C729" s="1" t="s">
        <v>21</v>
      </c>
      <c r="D729" s="1" t="s">
        <v>39</v>
      </c>
      <c r="E729" s="1" t="s">
        <v>96</v>
      </c>
      <c r="F729" s="1" t="s">
        <v>103</v>
      </c>
      <c r="G729" s="1" t="s">
        <v>114</v>
      </c>
      <c r="H729" s="1" t="s">
        <v>892</v>
      </c>
      <c r="I729" s="1" t="s">
        <v>194</v>
      </c>
      <c r="J729" s="1" t="s">
        <v>101</v>
      </c>
      <c r="K729" s="1" t="s">
        <v>175</v>
      </c>
      <c r="L729" s="1">
        <v>2443393</v>
      </c>
      <c r="M729" s="1" t="s">
        <v>915</v>
      </c>
      <c r="N729" s="8">
        <f>DATE(2017,8,7)</f>
        <v>42954</v>
      </c>
      <c r="O729" s="8">
        <f>DATE(2019,7,17)</f>
        <v>43663</v>
      </c>
      <c r="P729" s="1">
        <v>1343</v>
      </c>
      <c r="Q729" s="1">
        <v>1200</v>
      </c>
      <c r="R729" s="1">
        <f t="shared" si="227"/>
        <v>1200</v>
      </c>
      <c r="S729" s="1">
        <v>2.5</v>
      </c>
      <c r="U729" s="1">
        <f t="shared" si="228"/>
        <v>710</v>
      </c>
      <c r="V729" s="7">
        <f t="shared" si="229"/>
        <v>1.6901408450704225</v>
      </c>
      <c r="W729" s="7">
        <f t="shared" si="230"/>
        <v>616.90140845070425</v>
      </c>
      <c r="X729" s="7">
        <f t="shared" si="231"/>
        <v>0.77112676056338036</v>
      </c>
      <c r="AA729" s="8">
        <f t="shared" si="232"/>
        <v>44927</v>
      </c>
      <c r="AB729" s="8">
        <f t="shared" si="233"/>
        <v>45291</v>
      </c>
      <c r="AC729" s="1">
        <v>0</v>
      </c>
      <c r="AD729" s="1">
        <f t="shared" si="234"/>
        <v>0</v>
      </c>
      <c r="AE729" s="1">
        <f t="shared" si="235"/>
        <v>0</v>
      </c>
      <c r="AF729" s="1">
        <f t="shared" si="236"/>
        <v>0</v>
      </c>
      <c r="AG729" s="1">
        <f t="shared" si="237"/>
        <v>0</v>
      </c>
      <c r="AH729" s="1">
        <f t="shared" si="238"/>
        <v>182.5</v>
      </c>
      <c r="AI729" s="5">
        <f t="shared" si="239"/>
        <v>0.5</v>
      </c>
      <c r="AJ729" s="5">
        <f t="shared" si="240"/>
        <v>0.38556338028169018</v>
      </c>
      <c r="AK729" s="5">
        <f t="shared" si="241"/>
        <v>0</v>
      </c>
      <c r="AL729" s="5">
        <f t="shared" si="242"/>
        <v>0</v>
      </c>
      <c r="AM729" s="5">
        <f t="shared" si="243"/>
        <v>0</v>
      </c>
      <c r="AN729" s="5">
        <f t="shared" si="244"/>
        <v>0</v>
      </c>
      <c r="AO729" s="1" t="s">
        <v>102</v>
      </c>
    </row>
    <row r="730" spans="1:41" x14ac:dyDescent="0.25">
      <c r="A730" s="1" t="s">
        <v>19</v>
      </c>
      <c r="B730" s="1" t="s">
        <v>37</v>
      </c>
      <c r="C730" s="1" t="s">
        <v>21</v>
      </c>
      <c r="D730" s="1" t="s">
        <v>39</v>
      </c>
      <c r="E730" s="1" t="s">
        <v>172</v>
      </c>
      <c r="F730" s="1" t="s">
        <v>534</v>
      </c>
      <c r="G730" s="1" t="s">
        <v>320</v>
      </c>
      <c r="H730" s="1" t="s">
        <v>353</v>
      </c>
      <c r="I730" s="1" t="s">
        <v>174</v>
      </c>
      <c r="J730" s="1" t="s">
        <v>101</v>
      </c>
      <c r="L730" s="1">
        <v>2461252</v>
      </c>
      <c r="M730" s="1" t="s">
        <v>916</v>
      </c>
      <c r="N730" s="8">
        <f>DATE(2017,12,22)</f>
        <v>43091</v>
      </c>
      <c r="O730" s="8">
        <f>DATE(2021,12,21)</f>
        <v>44551</v>
      </c>
      <c r="P730" s="1">
        <v>3500</v>
      </c>
      <c r="Q730" s="1">
        <v>3200</v>
      </c>
      <c r="R730" s="1">
        <f t="shared" si="227"/>
        <v>3200</v>
      </c>
      <c r="S730" s="1">
        <v>2.5</v>
      </c>
      <c r="U730" s="1">
        <f t="shared" si="228"/>
        <v>1461</v>
      </c>
      <c r="V730" s="7">
        <f t="shared" si="229"/>
        <v>2.1902806297056809</v>
      </c>
      <c r="W730" s="7">
        <f t="shared" si="230"/>
        <v>799.45242984257357</v>
      </c>
      <c r="X730" s="7">
        <f t="shared" si="231"/>
        <v>0.99931553730321698</v>
      </c>
      <c r="AA730" s="8">
        <f t="shared" si="232"/>
        <v>44927</v>
      </c>
      <c r="AB730" s="8">
        <f t="shared" si="233"/>
        <v>45291</v>
      </c>
      <c r="AC730" s="1">
        <v>12</v>
      </c>
      <c r="AD730" s="1">
        <f t="shared" si="234"/>
        <v>0</v>
      </c>
      <c r="AE730" s="1">
        <f t="shared" si="235"/>
        <v>0</v>
      </c>
      <c r="AF730" s="1">
        <f t="shared" si="236"/>
        <v>0</v>
      </c>
      <c r="AG730" s="1">
        <f t="shared" si="237"/>
        <v>0</v>
      </c>
      <c r="AH730" s="1">
        <f t="shared" si="238"/>
        <v>182.5</v>
      </c>
      <c r="AI730" s="5">
        <f t="shared" si="239"/>
        <v>0.5</v>
      </c>
      <c r="AJ730" s="5">
        <f t="shared" si="240"/>
        <v>0.49965776865160849</v>
      </c>
      <c r="AK730" s="5">
        <f t="shared" si="241"/>
        <v>2.9979466119096507</v>
      </c>
      <c r="AL730" s="5">
        <f t="shared" si="242"/>
        <v>7.4948665297741268</v>
      </c>
      <c r="AM730" s="5">
        <f t="shared" si="243"/>
        <v>0</v>
      </c>
      <c r="AN730" s="5">
        <f t="shared" si="244"/>
        <v>7.4948665297741268</v>
      </c>
      <c r="AO730" s="1" t="s">
        <v>111</v>
      </c>
    </row>
    <row r="731" spans="1:41" x14ac:dyDescent="0.25">
      <c r="A731" s="1" t="s">
        <v>19</v>
      </c>
      <c r="B731" s="1" t="s">
        <v>37</v>
      </c>
      <c r="C731" s="1" t="s">
        <v>21</v>
      </c>
      <c r="D731" s="1" t="s">
        <v>39</v>
      </c>
      <c r="E731" s="1" t="s">
        <v>172</v>
      </c>
      <c r="F731" s="1" t="s">
        <v>534</v>
      </c>
      <c r="G731" s="1" t="s">
        <v>320</v>
      </c>
      <c r="H731" s="1" t="s">
        <v>353</v>
      </c>
      <c r="I731" s="1" t="s">
        <v>174</v>
      </c>
      <c r="J731" s="1" t="s">
        <v>101</v>
      </c>
      <c r="L731" s="1">
        <v>2461253</v>
      </c>
      <c r="M731" s="1" t="s">
        <v>916</v>
      </c>
      <c r="N731" s="8">
        <f>DATE(2017,12,22)</f>
        <v>43091</v>
      </c>
      <c r="O731" s="8">
        <f>DATE(2021,12,21)</f>
        <v>44551</v>
      </c>
      <c r="P731" s="1">
        <v>3500</v>
      </c>
      <c r="Q731" s="1">
        <v>3200</v>
      </c>
      <c r="R731" s="1">
        <f t="shared" si="227"/>
        <v>3200</v>
      </c>
      <c r="S731" s="1">
        <v>2.5</v>
      </c>
      <c r="U731" s="1">
        <f t="shared" si="228"/>
        <v>1461</v>
      </c>
      <c r="V731" s="7">
        <f t="shared" si="229"/>
        <v>2.1902806297056809</v>
      </c>
      <c r="W731" s="7">
        <f t="shared" si="230"/>
        <v>799.45242984257357</v>
      </c>
      <c r="X731" s="7">
        <f t="shared" si="231"/>
        <v>0.99931553730321698</v>
      </c>
      <c r="AA731" s="8">
        <f t="shared" si="232"/>
        <v>44927</v>
      </c>
      <c r="AB731" s="8">
        <f t="shared" si="233"/>
        <v>45291</v>
      </c>
      <c r="AC731" s="1">
        <v>12</v>
      </c>
      <c r="AD731" s="1">
        <f t="shared" si="234"/>
        <v>0</v>
      </c>
      <c r="AE731" s="1">
        <f t="shared" si="235"/>
        <v>0</v>
      </c>
      <c r="AF731" s="1">
        <f t="shared" si="236"/>
        <v>0</v>
      </c>
      <c r="AG731" s="1">
        <f t="shared" si="237"/>
        <v>0</v>
      </c>
      <c r="AH731" s="1">
        <f t="shared" si="238"/>
        <v>182.5</v>
      </c>
      <c r="AI731" s="5">
        <f t="shared" si="239"/>
        <v>0.5</v>
      </c>
      <c r="AJ731" s="5">
        <f t="shared" si="240"/>
        <v>0.49965776865160849</v>
      </c>
      <c r="AK731" s="5">
        <f t="shared" si="241"/>
        <v>2.9979466119096507</v>
      </c>
      <c r="AL731" s="5">
        <f t="shared" si="242"/>
        <v>7.4948665297741268</v>
      </c>
      <c r="AM731" s="5">
        <f t="shared" si="243"/>
        <v>0</v>
      </c>
      <c r="AN731" s="5">
        <f t="shared" si="244"/>
        <v>7.4948665297741268</v>
      </c>
      <c r="AO731" s="1" t="s">
        <v>111</v>
      </c>
    </row>
    <row r="732" spans="1:41" x14ac:dyDescent="0.25">
      <c r="A732" s="1" t="s">
        <v>19</v>
      </c>
      <c r="B732" s="1" t="s">
        <v>37</v>
      </c>
      <c r="C732" s="1" t="s">
        <v>21</v>
      </c>
      <c r="D732" s="1" t="s">
        <v>39</v>
      </c>
      <c r="E732" s="1" t="s">
        <v>172</v>
      </c>
      <c r="F732" s="1" t="s">
        <v>534</v>
      </c>
      <c r="G732" s="1" t="s">
        <v>320</v>
      </c>
      <c r="H732" s="1" t="s">
        <v>321</v>
      </c>
      <c r="I732" s="1" t="s">
        <v>174</v>
      </c>
      <c r="J732" s="1" t="s">
        <v>101</v>
      </c>
      <c r="L732" s="1">
        <v>2461254</v>
      </c>
      <c r="M732" s="1" t="s">
        <v>917</v>
      </c>
      <c r="N732" s="8">
        <f>DATE(2017,12,22)</f>
        <v>43091</v>
      </c>
      <c r="O732" s="8">
        <f>DATE(2021,12,21)</f>
        <v>44551</v>
      </c>
      <c r="P732" s="1">
        <v>3470</v>
      </c>
      <c r="Q732" s="1">
        <v>3200</v>
      </c>
      <c r="R732" s="1">
        <f t="shared" si="227"/>
        <v>3200</v>
      </c>
      <c r="S732" s="1">
        <v>2.5</v>
      </c>
      <c r="U732" s="1">
        <f t="shared" si="228"/>
        <v>1461</v>
      </c>
      <c r="V732" s="7">
        <f t="shared" si="229"/>
        <v>2.1902806297056809</v>
      </c>
      <c r="W732" s="7">
        <f t="shared" si="230"/>
        <v>799.45242984257357</v>
      </c>
      <c r="X732" s="7">
        <f t="shared" si="231"/>
        <v>0.99931553730321698</v>
      </c>
      <c r="AA732" s="8">
        <f t="shared" si="232"/>
        <v>44927</v>
      </c>
      <c r="AB732" s="8">
        <f t="shared" si="233"/>
        <v>45291</v>
      </c>
      <c r="AC732" s="1">
        <v>16</v>
      </c>
      <c r="AD732" s="1">
        <f t="shared" si="234"/>
        <v>0</v>
      </c>
      <c r="AE732" s="1">
        <f t="shared" si="235"/>
        <v>0</v>
      </c>
      <c r="AF732" s="1">
        <f t="shared" si="236"/>
        <v>0</v>
      </c>
      <c r="AG732" s="1">
        <f t="shared" si="237"/>
        <v>0</v>
      </c>
      <c r="AH732" s="1">
        <f t="shared" si="238"/>
        <v>182.5</v>
      </c>
      <c r="AI732" s="5">
        <f t="shared" si="239"/>
        <v>0.5</v>
      </c>
      <c r="AJ732" s="5">
        <f t="shared" si="240"/>
        <v>0.49965776865160849</v>
      </c>
      <c r="AK732" s="5">
        <f t="shared" si="241"/>
        <v>3.9972621492128679</v>
      </c>
      <c r="AL732" s="5">
        <f t="shared" si="242"/>
        <v>9.9931553730321703</v>
      </c>
      <c r="AM732" s="5">
        <f t="shared" si="243"/>
        <v>0</v>
      </c>
      <c r="AN732" s="5">
        <f t="shared" si="244"/>
        <v>9.9931553730321703</v>
      </c>
      <c r="AO732" s="1" t="s">
        <v>111</v>
      </c>
    </row>
    <row r="733" spans="1:41" x14ac:dyDescent="0.25">
      <c r="A733" s="1" t="s">
        <v>19</v>
      </c>
      <c r="B733" s="1" t="s">
        <v>37</v>
      </c>
      <c r="C733" s="1" t="s">
        <v>21</v>
      </c>
      <c r="D733" s="1" t="s">
        <v>39</v>
      </c>
      <c r="E733" s="1" t="s">
        <v>96</v>
      </c>
      <c r="F733" s="1" t="s">
        <v>103</v>
      </c>
      <c r="G733" s="1" t="s">
        <v>114</v>
      </c>
      <c r="H733" s="1" t="s">
        <v>892</v>
      </c>
      <c r="I733" s="1" t="s">
        <v>194</v>
      </c>
      <c r="J733" s="1" t="s">
        <v>101</v>
      </c>
      <c r="K733" s="1" t="s">
        <v>175</v>
      </c>
      <c r="L733" s="1">
        <v>2479397</v>
      </c>
      <c r="M733" s="1" t="s">
        <v>918</v>
      </c>
      <c r="N733" s="8">
        <f>DATE(2018,2,5)</f>
        <v>43136</v>
      </c>
      <c r="O733" s="8">
        <f>DATE(2020,2,4)</f>
        <v>43865</v>
      </c>
      <c r="P733" s="1">
        <v>1343</v>
      </c>
      <c r="Q733" s="1">
        <v>1200</v>
      </c>
      <c r="R733" s="1">
        <f t="shared" si="227"/>
        <v>1200</v>
      </c>
      <c r="S733" s="1">
        <v>2.5</v>
      </c>
      <c r="U733" s="1">
        <f t="shared" si="228"/>
        <v>730</v>
      </c>
      <c r="V733" s="7">
        <f t="shared" si="229"/>
        <v>1.6438356164383561</v>
      </c>
      <c r="W733" s="7">
        <f t="shared" si="230"/>
        <v>600</v>
      </c>
      <c r="X733" s="7">
        <f t="shared" si="231"/>
        <v>0.75</v>
      </c>
      <c r="AA733" s="8">
        <f t="shared" si="232"/>
        <v>44927</v>
      </c>
      <c r="AB733" s="8">
        <f t="shared" si="233"/>
        <v>45291</v>
      </c>
      <c r="AC733" s="1">
        <v>3</v>
      </c>
      <c r="AD733" s="1">
        <f t="shared" si="234"/>
        <v>0</v>
      </c>
      <c r="AE733" s="1">
        <f t="shared" si="235"/>
        <v>0</v>
      </c>
      <c r="AF733" s="1">
        <f t="shared" si="236"/>
        <v>0</v>
      </c>
      <c r="AG733" s="1">
        <f t="shared" si="237"/>
        <v>0</v>
      </c>
      <c r="AH733" s="1">
        <f t="shared" si="238"/>
        <v>182.5</v>
      </c>
      <c r="AI733" s="5">
        <f t="shared" si="239"/>
        <v>0.5</v>
      </c>
      <c r="AJ733" s="5">
        <f t="shared" si="240"/>
        <v>0.375</v>
      </c>
      <c r="AK733" s="5">
        <f t="shared" si="241"/>
        <v>0.5625</v>
      </c>
      <c r="AL733" s="5">
        <f t="shared" si="242"/>
        <v>1.40625</v>
      </c>
      <c r="AM733" s="5">
        <f t="shared" si="243"/>
        <v>0</v>
      </c>
      <c r="AN733" s="5">
        <f t="shared" si="244"/>
        <v>1.40625</v>
      </c>
      <c r="AO733" s="1" t="s">
        <v>102</v>
      </c>
    </row>
    <row r="734" spans="1:41" x14ac:dyDescent="0.25">
      <c r="A734" s="1" t="s">
        <v>19</v>
      </c>
      <c r="B734" s="1" t="s">
        <v>37</v>
      </c>
      <c r="C734" s="1" t="s">
        <v>21</v>
      </c>
      <c r="D734" s="1" t="s">
        <v>39</v>
      </c>
      <c r="E734" s="1" t="s">
        <v>96</v>
      </c>
      <c r="F734" s="1" t="s">
        <v>103</v>
      </c>
      <c r="G734" s="1" t="s">
        <v>114</v>
      </c>
      <c r="H734" s="1" t="s">
        <v>254</v>
      </c>
      <c r="I734" s="1" t="s">
        <v>255</v>
      </c>
      <c r="J734" s="1" t="s">
        <v>101</v>
      </c>
      <c r="K734" s="1" t="s">
        <v>175</v>
      </c>
      <c r="L734" s="1">
        <v>2479400</v>
      </c>
      <c r="M734" s="1" t="s">
        <v>919</v>
      </c>
      <c r="N734" s="8">
        <f>DATE(2018,2,5)</f>
        <v>43136</v>
      </c>
      <c r="O734" s="8">
        <f>DATE(2020,2,4)</f>
        <v>43865</v>
      </c>
      <c r="P734" s="1">
        <v>1343</v>
      </c>
      <c r="Q734" s="1">
        <v>1200</v>
      </c>
      <c r="R734" s="1">
        <f t="shared" si="227"/>
        <v>1200</v>
      </c>
      <c r="S734" s="1">
        <v>2.5</v>
      </c>
      <c r="U734" s="1">
        <f t="shared" si="228"/>
        <v>730</v>
      </c>
      <c r="V734" s="7">
        <f t="shared" si="229"/>
        <v>1.6438356164383561</v>
      </c>
      <c r="W734" s="7">
        <f t="shared" si="230"/>
        <v>600</v>
      </c>
      <c r="X734" s="7">
        <f t="shared" si="231"/>
        <v>0.75</v>
      </c>
      <c r="AA734" s="8">
        <f t="shared" si="232"/>
        <v>44927</v>
      </c>
      <c r="AB734" s="8">
        <f t="shared" si="233"/>
        <v>45291</v>
      </c>
      <c r="AC734" s="1">
        <v>3</v>
      </c>
      <c r="AD734" s="1">
        <f t="shared" si="234"/>
        <v>0</v>
      </c>
      <c r="AE734" s="1">
        <f t="shared" si="235"/>
        <v>0</v>
      </c>
      <c r="AF734" s="1">
        <f t="shared" si="236"/>
        <v>0</v>
      </c>
      <c r="AG734" s="1">
        <f t="shared" si="237"/>
        <v>0</v>
      </c>
      <c r="AH734" s="1">
        <f t="shared" si="238"/>
        <v>182.5</v>
      </c>
      <c r="AI734" s="5">
        <f t="shared" si="239"/>
        <v>0.5</v>
      </c>
      <c r="AJ734" s="5">
        <f t="shared" si="240"/>
        <v>0.375</v>
      </c>
      <c r="AK734" s="5">
        <f t="shared" si="241"/>
        <v>0.5625</v>
      </c>
      <c r="AL734" s="5">
        <f t="shared" si="242"/>
        <v>1.40625</v>
      </c>
      <c r="AM734" s="5">
        <f t="shared" si="243"/>
        <v>0</v>
      </c>
      <c r="AN734" s="5">
        <f t="shared" si="244"/>
        <v>1.40625</v>
      </c>
      <c r="AO734" s="1" t="s">
        <v>102</v>
      </c>
    </row>
    <row r="735" spans="1:41" x14ac:dyDescent="0.25">
      <c r="A735" s="1" t="s">
        <v>19</v>
      </c>
      <c r="B735" s="1" t="s">
        <v>37</v>
      </c>
      <c r="C735" s="1" t="s">
        <v>21</v>
      </c>
      <c r="D735" s="1" t="s">
        <v>39</v>
      </c>
      <c r="E735" s="1" t="s">
        <v>96</v>
      </c>
      <c r="F735" s="1" t="s">
        <v>103</v>
      </c>
      <c r="G735" s="1" t="s">
        <v>127</v>
      </c>
      <c r="H735" s="1" t="s">
        <v>872</v>
      </c>
      <c r="I735" s="1" t="s">
        <v>157</v>
      </c>
      <c r="J735" s="1" t="s">
        <v>101</v>
      </c>
      <c r="L735" s="1">
        <v>2480252</v>
      </c>
      <c r="M735" s="1" t="s">
        <v>920</v>
      </c>
      <c r="N735" s="8">
        <f>DATE(2018,2,5)</f>
        <v>43136</v>
      </c>
      <c r="O735" s="8">
        <f>DATE(2021,2,4)</f>
        <v>44231</v>
      </c>
      <c r="P735" s="1">
        <v>2160</v>
      </c>
      <c r="Q735" s="1">
        <v>1600</v>
      </c>
      <c r="R735" s="1">
        <f t="shared" si="227"/>
        <v>1600</v>
      </c>
      <c r="S735" s="1">
        <v>1</v>
      </c>
      <c r="U735" s="1">
        <f t="shared" si="228"/>
        <v>1096</v>
      </c>
      <c r="V735" s="7">
        <f t="shared" si="229"/>
        <v>1.4598540145985401</v>
      </c>
      <c r="W735" s="7">
        <f t="shared" si="230"/>
        <v>532.8467153284671</v>
      </c>
      <c r="X735" s="7">
        <f t="shared" si="231"/>
        <v>0.66605839416058388</v>
      </c>
      <c r="AA735" s="8">
        <f t="shared" si="232"/>
        <v>44927</v>
      </c>
      <c r="AB735" s="8">
        <f t="shared" si="233"/>
        <v>45291</v>
      </c>
      <c r="AC735" s="1">
        <v>6</v>
      </c>
      <c r="AD735" s="1">
        <f t="shared" si="234"/>
        <v>0</v>
      </c>
      <c r="AE735" s="1">
        <f t="shared" si="235"/>
        <v>0</v>
      </c>
      <c r="AF735" s="1">
        <f t="shared" si="236"/>
        <v>0</v>
      </c>
      <c r="AG735" s="1">
        <f t="shared" si="237"/>
        <v>0</v>
      </c>
      <c r="AH735" s="1">
        <f t="shared" si="238"/>
        <v>182.5</v>
      </c>
      <c r="AI735" s="5">
        <f t="shared" si="239"/>
        <v>0.5</v>
      </c>
      <c r="AJ735" s="5">
        <f t="shared" si="240"/>
        <v>0.33302919708029194</v>
      </c>
      <c r="AK735" s="5">
        <f t="shared" si="241"/>
        <v>0.99908759124087587</v>
      </c>
      <c r="AL735" s="5">
        <f t="shared" si="242"/>
        <v>0.99908759124087587</v>
      </c>
      <c r="AM735" s="5">
        <f t="shared" si="243"/>
        <v>0</v>
      </c>
      <c r="AN735" s="5">
        <f t="shared" si="244"/>
        <v>0.99908759124087587</v>
      </c>
      <c r="AO735" s="1" t="s">
        <v>102</v>
      </c>
    </row>
    <row r="736" spans="1:41" x14ac:dyDescent="0.25">
      <c r="A736" s="1" t="s">
        <v>19</v>
      </c>
      <c r="B736" s="1" t="s">
        <v>37</v>
      </c>
      <c r="C736" s="1" t="s">
        <v>21</v>
      </c>
      <c r="D736" s="1" t="s">
        <v>39</v>
      </c>
      <c r="E736" s="1" t="s">
        <v>96</v>
      </c>
      <c r="F736" s="1" t="s">
        <v>103</v>
      </c>
      <c r="G736" s="1" t="s">
        <v>98</v>
      </c>
      <c r="H736" s="1" t="s">
        <v>878</v>
      </c>
      <c r="I736" s="1" t="s">
        <v>255</v>
      </c>
      <c r="J736" s="1" t="s">
        <v>101</v>
      </c>
      <c r="L736" s="1">
        <v>2480253</v>
      </c>
      <c r="M736" s="1" t="s">
        <v>921</v>
      </c>
      <c r="N736" s="8">
        <f>DATE(2018,2,5)</f>
        <v>43136</v>
      </c>
      <c r="O736" s="8">
        <f>DATE(2023,2,4)</f>
        <v>44961</v>
      </c>
      <c r="P736" s="1">
        <v>4020</v>
      </c>
      <c r="Q736" s="1">
        <v>3600</v>
      </c>
      <c r="R736" s="1">
        <f t="shared" si="227"/>
        <v>3600</v>
      </c>
      <c r="S736" s="1">
        <v>2.5</v>
      </c>
      <c r="U736" s="1">
        <f t="shared" si="228"/>
        <v>1826</v>
      </c>
      <c r="V736" s="7">
        <f t="shared" si="229"/>
        <v>1.9715224534501643</v>
      </c>
      <c r="W736" s="7">
        <f t="shared" si="230"/>
        <v>719.60569550930995</v>
      </c>
      <c r="X736" s="7">
        <f t="shared" si="231"/>
        <v>0.89950711938663741</v>
      </c>
      <c r="AA736" s="8">
        <f t="shared" si="232"/>
        <v>44927</v>
      </c>
      <c r="AB736" s="8">
        <f t="shared" si="233"/>
        <v>45291</v>
      </c>
      <c r="AC736" s="1">
        <v>11</v>
      </c>
      <c r="AD736" s="1">
        <f t="shared" si="234"/>
        <v>0</v>
      </c>
      <c r="AE736" s="1">
        <f t="shared" si="235"/>
        <v>0</v>
      </c>
      <c r="AF736" s="1">
        <f t="shared" si="236"/>
        <v>35</v>
      </c>
      <c r="AG736" s="1">
        <f t="shared" si="237"/>
        <v>0</v>
      </c>
      <c r="AH736" s="1">
        <f t="shared" si="238"/>
        <v>0</v>
      </c>
      <c r="AI736" s="5">
        <f t="shared" si="239"/>
        <v>9.5890410958904104E-2</v>
      </c>
      <c r="AJ736" s="5">
        <f t="shared" si="240"/>
        <v>8.6254107338444672E-2</v>
      </c>
      <c r="AK736" s="5">
        <f t="shared" si="241"/>
        <v>0.94879518072289137</v>
      </c>
      <c r="AL736" s="5">
        <f t="shared" si="242"/>
        <v>2.3719879518072284</v>
      </c>
      <c r="AM736" s="5">
        <f t="shared" si="243"/>
        <v>0</v>
      </c>
      <c r="AN736" s="5">
        <f t="shared" si="244"/>
        <v>2.3719879518072284</v>
      </c>
      <c r="AO736" s="1" t="s">
        <v>102</v>
      </c>
    </row>
    <row r="737" spans="1:41" x14ac:dyDescent="0.25">
      <c r="A737" s="1" t="s">
        <v>19</v>
      </c>
      <c r="B737" s="1" t="s">
        <v>37</v>
      </c>
      <c r="C737" s="1" t="s">
        <v>21</v>
      </c>
      <c r="D737" s="1" t="s">
        <v>39</v>
      </c>
      <c r="E737" s="1" t="s">
        <v>96</v>
      </c>
      <c r="F737" s="1" t="s">
        <v>103</v>
      </c>
      <c r="G737" s="1" t="s">
        <v>114</v>
      </c>
      <c r="H737" s="1" t="s">
        <v>894</v>
      </c>
      <c r="I737" s="1" t="s">
        <v>157</v>
      </c>
      <c r="J737" s="1" t="s">
        <v>101</v>
      </c>
      <c r="K737" s="1" t="s">
        <v>116</v>
      </c>
      <c r="L737" s="1">
        <v>2487661</v>
      </c>
      <c r="M737" s="1" t="s">
        <v>922</v>
      </c>
      <c r="N737" s="8">
        <f>DATE(2018,2,5)</f>
        <v>43136</v>
      </c>
      <c r="O737" s="8">
        <f>DATE(2020,12,20)</f>
        <v>44185</v>
      </c>
      <c r="P737" s="1">
        <v>3912</v>
      </c>
      <c r="Q737" s="1">
        <v>1200</v>
      </c>
      <c r="R737" s="1">
        <f t="shared" si="227"/>
        <v>3200</v>
      </c>
      <c r="S737" s="1">
        <v>1.5</v>
      </c>
      <c r="U737" s="1">
        <f t="shared" si="228"/>
        <v>1050</v>
      </c>
      <c r="V737" s="7">
        <f t="shared" si="229"/>
        <v>3.0476190476190474</v>
      </c>
      <c r="W737" s="7">
        <f t="shared" si="230"/>
        <v>1112.3809523809523</v>
      </c>
      <c r="X737" s="7">
        <f t="shared" si="231"/>
        <v>1.3904761904761904</v>
      </c>
      <c r="AA737" s="8">
        <f t="shared" si="232"/>
        <v>44927</v>
      </c>
      <c r="AB737" s="8">
        <f t="shared" si="233"/>
        <v>45291</v>
      </c>
      <c r="AC737" s="1">
        <v>1</v>
      </c>
      <c r="AD737" s="1">
        <f t="shared" si="234"/>
        <v>0</v>
      </c>
      <c r="AE737" s="1">
        <f t="shared" si="235"/>
        <v>0</v>
      </c>
      <c r="AF737" s="1">
        <f t="shared" si="236"/>
        <v>0</v>
      </c>
      <c r="AG737" s="1">
        <f t="shared" si="237"/>
        <v>0</v>
      </c>
      <c r="AH737" s="1">
        <f t="shared" si="238"/>
        <v>182.5</v>
      </c>
      <c r="AI737" s="5">
        <f t="shared" si="239"/>
        <v>0.5</v>
      </c>
      <c r="AJ737" s="5">
        <f t="shared" si="240"/>
        <v>0.69523809523809521</v>
      </c>
      <c r="AK737" s="5">
        <f t="shared" si="241"/>
        <v>0.34761904761904761</v>
      </c>
      <c r="AL737" s="5">
        <f t="shared" si="242"/>
        <v>0.52142857142857135</v>
      </c>
      <c r="AM737" s="5">
        <f t="shared" si="243"/>
        <v>0</v>
      </c>
      <c r="AN737" s="5">
        <f t="shared" si="244"/>
        <v>0.52142857142857135</v>
      </c>
      <c r="AO737" s="1" t="s">
        <v>102</v>
      </c>
    </row>
    <row r="738" spans="1:41" x14ac:dyDescent="0.25">
      <c r="A738" s="1" t="s">
        <v>19</v>
      </c>
      <c r="B738" s="1" t="s">
        <v>37</v>
      </c>
      <c r="C738" s="1" t="s">
        <v>21</v>
      </c>
      <c r="D738" s="1" t="s">
        <v>39</v>
      </c>
      <c r="E738" s="1" t="s">
        <v>96</v>
      </c>
      <c r="F738" s="1" t="s">
        <v>103</v>
      </c>
      <c r="G738" s="1" t="s">
        <v>114</v>
      </c>
      <c r="H738" s="1" t="s">
        <v>894</v>
      </c>
      <c r="I738" s="1" t="s">
        <v>157</v>
      </c>
      <c r="J738" s="1" t="s">
        <v>101</v>
      </c>
      <c r="K738" s="1" t="s">
        <v>116</v>
      </c>
      <c r="L738" s="1">
        <v>2524193</v>
      </c>
      <c r="M738" s="1" t="s">
        <v>923</v>
      </c>
      <c r="N738" s="8">
        <f>DATE(2018,7,25)</f>
        <v>43306</v>
      </c>
      <c r="O738" s="8">
        <f>DATE(2021,7,24)</f>
        <v>44401</v>
      </c>
      <c r="P738" s="1">
        <v>3689</v>
      </c>
      <c r="Q738" s="1">
        <v>1200</v>
      </c>
      <c r="R738" s="1">
        <f t="shared" si="227"/>
        <v>3200</v>
      </c>
      <c r="S738" s="1">
        <v>1.5</v>
      </c>
      <c r="U738" s="1">
        <f t="shared" si="228"/>
        <v>1096</v>
      </c>
      <c r="V738" s="7">
        <f t="shared" si="229"/>
        <v>2.9197080291970803</v>
      </c>
      <c r="W738" s="7">
        <f t="shared" si="230"/>
        <v>1065.6934306569342</v>
      </c>
      <c r="X738" s="7">
        <f t="shared" si="231"/>
        <v>1.3321167883211678</v>
      </c>
      <c r="AA738" s="8">
        <f t="shared" si="232"/>
        <v>44927</v>
      </c>
      <c r="AB738" s="8">
        <f t="shared" si="233"/>
        <v>45291</v>
      </c>
      <c r="AC738" s="1">
        <v>3</v>
      </c>
      <c r="AD738" s="1">
        <f t="shared" si="234"/>
        <v>0</v>
      </c>
      <c r="AE738" s="1">
        <f t="shared" si="235"/>
        <v>0</v>
      </c>
      <c r="AF738" s="1">
        <f t="shared" si="236"/>
        <v>0</v>
      </c>
      <c r="AG738" s="1">
        <f t="shared" si="237"/>
        <v>0</v>
      </c>
      <c r="AH738" s="1">
        <f t="shared" si="238"/>
        <v>182.5</v>
      </c>
      <c r="AI738" s="5">
        <f t="shared" si="239"/>
        <v>0.5</v>
      </c>
      <c r="AJ738" s="5">
        <f t="shared" si="240"/>
        <v>0.66605839416058388</v>
      </c>
      <c r="AK738" s="5">
        <f t="shared" si="241"/>
        <v>0.99908759124087587</v>
      </c>
      <c r="AL738" s="5">
        <f t="shared" si="242"/>
        <v>1.4986313868613137</v>
      </c>
      <c r="AM738" s="5">
        <f t="shared" si="243"/>
        <v>0</v>
      </c>
      <c r="AN738" s="5">
        <f t="shared" si="244"/>
        <v>1.4986313868613137</v>
      </c>
      <c r="AO738" s="1" t="s">
        <v>102</v>
      </c>
    </row>
    <row r="739" spans="1:41" x14ac:dyDescent="0.25">
      <c r="A739" s="1" t="s">
        <v>19</v>
      </c>
      <c r="B739" s="1" t="s">
        <v>37</v>
      </c>
      <c r="C739" s="1" t="s">
        <v>21</v>
      </c>
      <c r="D739" s="1" t="s">
        <v>39</v>
      </c>
      <c r="E739" s="1" t="s">
        <v>96</v>
      </c>
      <c r="F739" s="1" t="s">
        <v>103</v>
      </c>
      <c r="G739" s="1" t="s">
        <v>114</v>
      </c>
      <c r="H739" s="1" t="s">
        <v>892</v>
      </c>
      <c r="I739" s="1" t="s">
        <v>194</v>
      </c>
      <c r="J739" s="1" t="s">
        <v>101</v>
      </c>
      <c r="K739" s="1" t="s">
        <v>116</v>
      </c>
      <c r="L739" s="1">
        <v>2524220</v>
      </c>
      <c r="M739" s="1" t="s">
        <v>924</v>
      </c>
      <c r="N739" s="8">
        <f>DATE(2018,7,25)</f>
        <v>43306</v>
      </c>
      <c r="O739" s="8">
        <f>DATE(2021,7,24)</f>
        <v>44401</v>
      </c>
      <c r="P739" s="1">
        <v>3689</v>
      </c>
      <c r="Q739" s="1">
        <v>1200</v>
      </c>
      <c r="R739" s="1">
        <f t="shared" si="227"/>
        <v>3200</v>
      </c>
      <c r="S739" s="1">
        <v>2.5</v>
      </c>
      <c r="U739" s="1">
        <f t="shared" si="228"/>
        <v>1096</v>
      </c>
      <c r="V739" s="7">
        <f t="shared" si="229"/>
        <v>2.9197080291970803</v>
      </c>
      <c r="W739" s="7">
        <f t="shared" si="230"/>
        <v>1065.6934306569342</v>
      </c>
      <c r="X739" s="7">
        <f t="shared" si="231"/>
        <v>1.3321167883211678</v>
      </c>
      <c r="AA739" s="8">
        <f t="shared" si="232"/>
        <v>44927</v>
      </c>
      <c r="AB739" s="8">
        <f t="shared" si="233"/>
        <v>45291</v>
      </c>
      <c r="AC739" s="1">
        <v>3</v>
      </c>
      <c r="AD739" s="1">
        <f t="shared" si="234"/>
        <v>0</v>
      </c>
      <c r="AE739" s="1">
        <f t="shared" si="235"/>
        <v>0</v>
      </c>
      <c r="AF739" s="1">
        <f t="shared" si="236"/>
        <v>0</v>
      </c>
      <c r="AG739" s="1">
        <f t="shared" si="237"/>
        <v>0</v>
      </c>
      <c r="AH739" s="1">
        <f t="shared" si="238"/>
        <v>182.5</v>
      </c>
      <c r="AI739" s="5">
        <f t="shared" si="239"/>
        <v>0.5</v>
      </c>
      <c r="AJ739" s="5">
        <f t="shared" si="240"/>
        <v>0.66605839416058388</v>
      </c>
      <c r="AK739" s="5">
        <f t="shared" si="241"/>
        <v>0.99908759124087587</v>
      </c>
      <c r="AL739" s="5">
        <f t="shared" si="242"/>
        <v>2.4977189781021898</v>
      </c>
      <c r="AM739" s="5">
        <f t="shared" si="243"/>
        <v>0</v>
      </c>
      <c r="AN739" s="5">
        <f t="shared" si="244"/>
        <v>2.4977189781021898</v>
      </c>
      <c r="AO739" s="1" t="s">
        <v>102</v>
      </c>
    </row>
    <row r="740" spans="1:41" x14ac:dyDescent="0.25">
      <c r="A740" s="1" t="s">
        <v>19</v>
      </c>
      <c r="B740" s="1" t="s">
        <v>37</v>
      </c>
      <c r="C740" s="1" t="s">
        <v>21</v>
      </c>
      <c r="D740" s="1" t="s">
        <v>39</v>
      </c>
      <c r="E740" s="1" t="s">
        <v>96</v>
      </c>
      <c r="F740" s="1" t="s">
        <v>103</v>
      </c>
      <c r="G740" s="1" t="s">
        <v>114</v>
      </c>
      <c r="H740" s="1" t="s">
        <v>254</v>
      </c>
      <c r="I740" s="1" t="s">
        <v>255</v>
      </c>
      <c r="J740" s="1" t="s">
        <v>101</v>
      </c>
      <c r="K740" s="1" t="s">
        <v>175</v>
      </c>
      <c r="L740" s="1">
        <v>2524241</v>
      </c>
      <c r="M740" s="1" t="s">
        <v>925</v>
      </c>
      <c r="N740" s="8">
        <f>DATE(2018,7,25)</f>
        <v>43306</v>
      </c>
      <c r="O740" s="8">
        <f>DATE(2020,7,24)</f>
        <v>44036</v>
      </c>
      <c r="P740" s="1">
        <v>1411</v>
      </c>
      <c r="Q740" s="1">
        <v>1200</v>
      </c>
      <c r="R740" s="1">
        <f t="shared" si="227"/>
        <v>1200</v>
      </c>
      <c r="S740" s="1">
        <v>2.5</v>
      </c>
      <c r="U740" s="1">
        <f t="shared" si="228"/>
        <v>731</v>
      </c>
      <c r="V740" s="7">
        <f t="shared" si="229"/>
        <v>1.6415868673050615</v>
      </c>
      <c r="W740" s="7">
        <f t="shared" si="230"/>
        <v>599.17920656634749</v>
      </c>
      <c r="X740" s="7">
        <f t="shared" si="231"/>
        <v>0.74897400820793436</v>
      </c>
      <c r="AA740" s="8">
        <f t="shared" si="232"/>
        <v>44927</v>
      </c>
      <c r="AB740" s="8">
        <f t="shared" si="233"/>
        <v>45291</v>
      </c>
      <c r="AC740" s="1">
        <v>9</v>
      </c>
      <c r="AD740" s="1">
        <f t="shared" si="234"/>
        <v>0</v>
      </c>
      <c r="AE740" s="1">
        <f t="shared" si="235"/>
        <v>0</v>
      </c>
      <c r="AF740" s="1">
        <f t="shared" si="236"/>
        <v>0</v>
      </c>
      <c r="AG740" s="1">
        <f t="shared" si="237"/>
        <v>0</v>
      </c>
      <c r="AH740" s="1">
        <f t="shared" si="238"/>
        <v>182.5</v>
      </c>
      <c r="AI740" s="5">
        <f t="shared" si="239"/>
        <v>0.5</v>
      </c>
      <c r="AJ740" s="5">
        <f t="shared" si="240"/>
        <v>0.37448700410396718</v>
      </c>
      <c r="AK740" s="5">
        <f t="shared" si="241"/>
        <v>1.6851915184678523</v>
      </c>
      <c r="AL740" s="5">
        <f t="shared" si="242"/>
        <v>4.2129787961696312</v>
      </c>
      <c r="AM740" s="5">
        <f t="shared" si="243"/>
        <v>0</v>
      </c>
      <c r="AN740" s="5">
        <f t="shared" si="244"/>
        <v>4.2129787961696312</v>
      </c>
      <c r="AO740" s="1" t="s">
        <v>102</v>
      </c>
    </row>
    <row r="741" spans="1:41" x14ac:dyDescent="0.25">
      <c r="A741" s="1" t="s">
        <v>19</v>
      </c>
      <c r="B741" s="1" t="s">
        <v>37</v>
      </c>
      <c r="C741" s="1" t="s">
        <v>21</v>
      </c>
      <c r="D741" s="1" t="s">
        <v>39</v>
      </c>
      <c r="E741" s="1" t="s">
        <v>96</v>
      </c>
      <c r="F741" s="1" t="s">
        <v>103</v>
      </c>
      <c r="G741" s="1" t="s">
        <v>114</v>
      </c>
      <c r="H741" s="1" t="s">
        <v>892</v>
      </c>
      <c r="I741" s="1" t="s">
        <v>194</v>
      </c>
      <c r="J741" s="1" t="s">
        <v>101</v>
      </c>
      <c r="K741" s="1" t="s">
        <v>175</v>
      </c>
      <c r="L741" s="1">
        <v>2524247</v>
      </c>
      <c r="M741" s="1" t="s">
        <v>926</v>
      </c>
      <c r="N741" s="8">
        <f>DATE(2018,7,25)</f>
        <v>43306</v>
      </c>
      <c r="O741" s="8">
        <f>DATE(2020,7,24)</f>
        <v>44036</v>
      </c>
      <c r="P741" s="1">
        <v>1343</v>
      </c>
      <c r="Q741" s="1">
        <v>1200</v>
      </c>
      <c r="R741" s="1">
        <f t="shared" si="227"/>
        <v>1200</v>
      </c>
      <c r="S741" s="1">
        <v>2.5</v>
      </c>
      <c r="U741" s="1">
        <f t="shared" si="228"/>
        <v>731</v>
      </c>
      <c r="V741" s="7">
        <f t="shared" si="229"/>
        <v>1.6415868673050615</v>
      </c>
      <c r="W741" s="7">
        <f t="shared" si="230"/>
        <v>599.17920656634749</v>
      </c>
      <c r="X741" s="7">
        <f t="shared" si="231"/>
        <v>0.74897400820793436</v>
      </c>
      <c r="AA741" s="8">
        <f t="shared" si="232"/>
        <v>44927</v>
      </c>
      <c r="AB741" s="8">
        <f t="shared" si="233"/>
        <v>45291</v>
      </c>
      <c r="AC741" s="1">
        <v>2</v>
      </c>
      <c r="AD741" s="1">
        <f t="shared" si="234"/>
        <v>0</v>
      </c>
      <c r="AE741" s="1">
        <f t="shared" si="235"/>
        <v>0</v>
      </c>
      <c r="AF741" s="1">
        <f t="shared" si="236"/>
        <v>0</v>
      </c>
      <c r="AG741" s="1">
        <f t="shared" si="237"/>
        <v>0</v>
      </c>
      <c r="AH741" s="1">
        <f t="shared" si="238"/>
        <v>182.5</v>
      </c>
      <c r="AI741" s="5">
        <f t="shared" si="239"/>
        <v>0.5</v>
      </c>
      <c r="AJ741" s="5">
        <f t="shared" si="240"/>
        <v>0.37448700410396718</v>
      </c>
      <c r="AK741" s="5">
        <f t="shared" si="241"/>
        <v>0.37448700410396718</v>
      </c>
      <c r="AL741" s="5">
        <f t="shared" si="242"/>
        <v>0.93621751025991795</v>
      </c>
      <c r="AM741" s="5">
        <f t="shared" si="243"/>
        <v>0</v>
      </c>
      <c r="AN741" s="5">
        <f t="shared" si="244"/>
        <v>0.93621751025991795</v>
      </c>
      <c r="AO741" s="1" t="s">
        <v>102</v>
      </c>
    </row>
    <row r="742" spans="1:41" x14ac:dyDescent="0.25">
      <c r="A742" s="1" t="s">
        <v>19</v>
      </c>
      <c r="B742" s="1" t="s">
        <v>37</v>
      </c>
      <c r="C742" s="1" t="s">
        <v>21</v>
      </c>
      <c r="D742" s="1" t="s">
        <v>39</v>
      </c>
      <c r="E742" s="1" t="s">
        <v>96</v>
      </c>
      <c r="F742" s="1" t="s">
        <v>103</v>
      </c>
      <c r="G742" s="1" t="s">
        <v>127</v>
      </c>
      <c r="H742" s="1" t="s">
        <v>872</v>
      </c>
      <c r="I742" s="1" t="s">
        <v>157</v>
      </c>
      <c r="J742" s="1" t="s">
        <v>101</v>
      </c>
      <c r="L742" s="1">
        <v>2524249</v>
      </c>
      <c r="M742" s="1" t="s">
        <v>927</v>
      </c>
      <c r="N742" s="8">
        <f>DATE(2018,7,25)</f>
        <v>43306</v>
      </c>
      <c r="O742" s="8">
        <f>DATE(2021,7,24)</f>
        <v>44401</v>
      </c>
      <c r="P742" s="1">
        <v>2160</v>
      </c>
      <c r="Q742" s="1">
        <v>1600</v>
      </c>
      <c r="R742" s="1">
        <f t="shared" si="227"/>
        <v>1600</v>
      </c>
      <c r="S742" s="1">
        <v>1</v>
      </c>
      <c r="U742" s="1">
        <f t="shared" si="228"/>
        <v>1096</v>
      </c>
      <c r="V742" s="7">
        <f t="shared" si="229"/>
        <v>1.4598540145985401</v>
      </c>
      <c r="W742" s="7">
        <f t="shared" si="230"/>
        <v>532.8467153284671</v>
      </c>
      <c r="X742" s="7">
        <f t="shared" si="231"/>
        <v>0.66605839416058388</v>
      </c>
      <c r="AA742" s="8">
        <f t="shared" si="232"/>
        <v>44927</v>
      </c>
      <c r="AB742" s="8">
        <f t="shared" si="233"/>
        <v>45291</v>
      </c>
      <c r="AC742" s="1">
        <v>5</v>
      </c>
      <c r="AD742" s="1">
        <f t="shared" si="234"/>
        <v>0</v>
      </c>
      <c r="AE742" s="1">
        <f t="shared" si="235"/>
        <v>0</v>
      </c>
      <c r="AF742" s="1">
        <f t="shared" si="236"/>
        <v>0</v>
      </c>
      <c r="AG742" s="1">
        <f t="shared" si="237"/>
        <v>0</v>
      </c>
      <c r="AH742" s="1">
        <f t="shared" si="238"/>
        <v>182.5</v>
      </c>
      <c r="AI742" s="5">
        <f t="shared" si="239"/>
        <v>0.5</v>
      </c>
      <c r="AJ742" s="5">
        <f t="shared" si="240"/>
        <v>0.33302919708029194</v>
      </c>
      <c r="AK742" s="5">
        <f t="shared" si="241"/>
        <v>0.83257299270072982</v>
      </c>
      <c r="AL742" s="5">
        <f t="shared" si="242"/>
        <v>0.83257299270072982</v>
      </c>
      <c r="AM742" s="5">
        <f t="shared" si="243"/>
        <v>0</v>
      </c>
      <c r="AN742" s="5">
        <f t="shared" si="244"/>
        <v>0.83257299270072982</v>
      </c>
      <c r="AO742" s="1" t="s">
        <v>102</v>
      </c>
    </row>
    <row r="743" spans="1:41" x14ac:dyDescent="0.25">
      <c r="A743" s="1" t="s">
        <v>19</v>
      </c>
      <c r="B743" s="1" t="s">
        <v>37</v>
      </c>
      <c r="C743" s="1" t="s">
        <v>21</v>
      </c>
      <c r="D743" s="1" t="s">
        <v>39</v>
      </c>
      <c r="E743" s="1" t="s">
        <v>96</v>
      </c>
      <c r="F743" s="1" t="s">
        <v>103</v>
      </c>
      <c r="G743" s="1" t="s">
        <v>98</v>
      </c>
      <c r="H743" s="1" t="s">
        <v>878</v>
      </c>
      <c r="I743" s="1" t="s">
        <v>255</v>
      </c>
      <c r="J743" s="1" t="s">
        <v>101</v>
      </c>
      <c r="L743" s="1">
        <v>2532122</v>
      </c>
      <c r="M743" s="1" t="s">
        <v>928</v>
      </c>
      <c r="N743" s="8">
        <f>DATE(2018,8,1)</f>
        <v>43313</v>
      </c>
      <c r="O743" s="8">
        <f>DATE(2023,8,1)</f>
        <v>45139</v>
      </c>
      <c r="P743" s="1">
        <v>4020</v>
      </c>
      <c r="Q743" s="1">
        <v>3600</v>
      </c>
      <c r="R743" s="1">
        <f t="shared" si="227"/>
        <v>3600</v>
      </c>
      <c r="S743" s="1">
        <v>2.5</v>
      </c>
      <c r="U743" s="1">
        <f t="shared" si="228"/>
        <v>1827</v>
      </c>
      <c r="V743" s="7">
        <f t="shared" si="229"/>
        <v>1.9704433497536946</v>
      </c>
      <c r="W743" s="7">
        <f t="shared" si="230"/>
        <v>719.21182266009851</v>
      </c>
      <c r="X743" s="7">
        <f t="shared" si="231"/>
        <v>0.89901477832512311</v>
      </c>
      <c r="AA743" s="8">
        <f t="shared" si="232"/>
        <v>44927</v>
      </c>
      <c r="AB743" s="8">
        <f t="shared" si="233"/>
        <v>45291</v>
      </c>
      <c r="AC743" s="1">
        <v>7</v>
      </c>
      <c r="AD743" s="1">
        <f t="shared" si="234"/>
        <v>0</v>
      </c>
      <c r="AE743" s="1">
        <f t="shared" si="235"/>
        <v>0</v>
      </c>
      <c r="AF743" s="1">
        <f t="shared" si="236"/>
        <v>213</v>
      </c>
      <c r="AG743" s="1">
        <f t="shared" si="237"/>
        <v>0</v>
      </c>
      <c r="AH743" s="1">
        <f t="shared" si="238"/>
        <v>0</v>
      </c>
      <c r="AI743" s="5">
        <f t="shared" si="239"/>
        <v>0.58356164383561648</v>
      </c>
      <c r="AJ743" s="5">
        <f t="shared" si="240"/>
        <v>0.52463054187192115</v>
      </c>
      <c r="AK743" s="5">
        <f t="shared" si="241"/>
        <v>3.672413793103448</v>
      </c>
      <c r="AL743" s="5">
        <f t="shared" si="242"/>
        <v>9.1810344827586192</v>
      </c>
      <c r="AM743" s="5">
        <f t="shared" si="243"/>
        <v>0</v>
      </c>
      <c r="AN743" s="5">
        <f t="shared" si="244"/>
        <v>9.1810344827586192</v>
      </c>
      <c r="AO743" s="1" t="s">
        <v>102</v>
      </c>
    </row>
    <row r="744" spans="1:41" x14ac:dyDescent="0.25">
      <c r="A744" s="1" t="s">
        <v>19</v>
      </c>
      <c r="B744" s="1" t="s">
        <v>37</v>
      </c>
      <c r="C744" s="1" t="s">
        <v>21</v>
      </c>
      <c r="D744" s="1" t="s">
        <v>39</v>
      </c>
      <c r="E744" s="1" t="s">
        <v>172</v>
      </c>
      <c r="F744" s="1" t="s">
        <v>534</v>
      </c>
      <c r="G744" s="1" t="s">
        <v>320</v>
      </c>
      <c r="H744" s="1" t="s">
        <v>353</v>
      </c>
      <c r="I744" s="1" t="s">
        <v>174</v>
      </c>
      <c r="J744" s="1" t="s">
        <v>101</v>
      </c>
      <c r="L744" s="1">
        <v>2552476</v>
      </c>
      <c r="M744" s="1" t="s">
        <v>929</v>
      </c>
      <c r="N744" s="8">
        <f t="shared" ref="N744:N757" si="247">DATE(2018,10,25)</f>
        <v>43398</v>
      </c>
      <c r="O744" s="8">
        <f t="shared" ref="O744:O757" si="248">DATE(2022,10,24)</f>
        <v>44858</v>
      </c>
      <c r="P744" s="1">
        <v>3500</v>
      </c>
      <c r="Q744" s="1">
        <v>3200</v>
      </c>
      <c r="R744" s="1">
        <f t="shared" si="227"/>
        <v>3200</v>
      </c>
      <c r="S744" s="1">
        <v>2.5</v>
      </c>
      <c r="U744" s="1">
        <f t="shared" si="228"/>
        <v>1461</v>
      </c>
      <c r="V744" s="7">
        <f t="shared" si="229"/>
        <v>2.1902806297056809</v>
      </c>
      <c r="W744" s="7">
        <f t="shared" si="230"/>
        <v>799.45242984257357</v>
      </c>
      <c r="X744" s="7">
        <f t="shared" si="231"/>
        <v>0.99931553730321698</v>
      </c>
      <c r="AA744" s="8">
        <f t="shared" si="232"/>
        <v>44927</v>
      </c>
      <c r="AB744" s="8">
        <f t="shared" si="233"/>
        <v>45291</v>
      </c>
      <c r="AC744" s="1">
        <v>16</v>
      </c>
      <c r="AD744" s="1">
        <f t="shared" si="234"/>
        <v>0</v>
      </c>
      <c r="AE744" s="1">
        <f t="shared" si="235"/>
        <v>0</v>
      </c>
      <c r="AF744" s="1">
        <f t="shared" si="236"/>
        <v>0</v>
      </c>
      <c r="AG744" s="1">
        <f t="shared" si="237"/>
        <v>0</v>
      </c>
      <c r="AH744" s="1">
        <f t="shared" si="238"/>
        <v>182.5</v>
      </c>
      <c r="AI744" s="5">
        <f t="shared" si="239"/>
        <v>0.5</v>
      </c>
      <c r="AJ744" s="5">
        <f t="shared" si="240"/>
        <v>0.49965776865160849</v>
      </c>
      <c r="AK744" s="5">
        <f t="shared" si="241"/>
        <v>3.9972621492128679</v>
      </c>
      <c r="AL744" s="5">
        <f t="shared" si="242"/>
        <v>9.9931553730321703</v>
      </c>
      <c r="AM744" s="5">
        <f t="shared" si="243"/>
        <v>0</v>
      </c>
      <c r="AN744" s="5">
        <f t="shared" si="244"/>
        <v>9.9931553730321703</v>
      </c>
      <c r="AO744" s="1" t="s">
        <v>111</v>
      </c>
    </row>
    <row r="745" spans="1:41" x14ac:dyDescent="0.25">
      <c r="A745" s="1" t="s">
        <v>19</v>
      </c>
      <c r="B745" s="1" t="s">
        <v>37</v>
      </c>
      <c r="C745" s="1" t="s">
        <v>21</v>
      </c>
      <c r="D745" s="1" t="s">
        <v>39</v>
      </c>
      <c r="E745" s="1" t="s">
        <v>172</v>
      </c>
      <c r="F745" s="1" t="s">
        <v>534</v>
      </c>
      <c r="G745" s="1" t="s">
        <v>320</v>
      </c>
      <c r="H745" s="1" t="s">
        <v>353</v>
      </c>
      <c r="I745" s="1" t="s">
        <v>174</v>
      </c>
      <c r="J745" s="1" t="s">
        <v>101</v>
      </c>
      <c r="L745" s="1">
        <v>2552964</v>
      </c>
      <c r="M745" s="1" t="s">
        <v>929</v>
      </c>
      <c r="N745" s="8">
        <f t="shared" si="247"/>
        <v>43398</v>
      </c>
      <c r="O745" s="8">
        <f t="shared" si="248"/>
        <v>44858</v>
      </c>
      <c r="P745" s="1">
        <v>3500</v>
      </c>
      <c r="Q745" s="1">
        <v>3200</v>
      </c>
      <c r="R745" s="1">
        <f t="shared" si="227"/>
        <v>3200</v>
      </c>
      <c r="S745" s="1">
        <v>2.5</v>
      </c>
      <c r="U745" s="1">
        <f t="shared" si="228"/>
        <v>1461</v>
      </c>
      <c r="V745" s="7">
        <f t="shared" si="229"/>
        <v>2.1902806297056809</v>
      </c>
      <c r="W745" s="7">
        <f t="shared" si="230"/>
        <v>799.45242984257357</v>
      </c>
      <c r="X745" s="7">
        <f t="shared" si="231"/>
        <v>0.99931553730321698</v>
      </c>
      <c r="AA745" s="8">
        <f t="shared" si="232"/>
        <v>44927</v>
      </c>
      <c r="AB745" s="8">
        <f t="shared" si="233"/>
        <v>45291</v>
      </c>
      <c r="AC745" s="1">
        <v>13</v>
      </c>
      <c r="AD745" s="1">
        <f t="shared" si="234"/>
        <v>0</v>
      </c>
      <c r="AE745" s="1">
        <f t="shared" si="235"/>
        <v>0</v>
      </c>
      <c r="AF745" s="1">
        <f t="shared" si="236"/>
        <v>0</v>
      </c>
      <c r="AG745" s="1">
        <f t="shared" si="237"/>
        <v>0</v>
      </c>
      <c r="AH745" s="1">
        <f t="shared" si="238"/>
        <v>182.5</v>
      </c>
      <c r="AI745" s="5">
        <f t="shared" si="239"/>
        <v>0.5</v>
      </c>
      <c r="AJ745" s="5">
        <f t="shared" si="240"/>
        <v>0.49965776865160849</v>
      </c>
      <c r="AK745" s="5">
        <f t="shared" si="241"/>
        <v>3.2477754962354553</v>
      </c>
      <c r="AL745" s="5">
        <f t="shared" si="242"/>
        <v>8.1194387405886381</v>
      </c>
      <c r="AM745" s="5">
        <f t="shared" si="243"/>
        <v>0</v>
      </c>
      <c r="AN745" s="5">
        <f t="shared" si="244"/>
        <v>8.1194387405886381</v>
      </c>
      <c r="AO745" s="1" t="s">
        <v>111</v>
      </c>
    </row>
    <row r="746" spans="1:41" x14ac:dyDescent="0.25">
      <c r="A746" s="1" t="s">
        <v>19</v>
      </c>
      <c r="B746" s="1" t="s">
        <v>37</v>
      </c>
      <c r="C746" s="1" t="s">
        <v>21</v>
      </c>
      <c r="D746" s="1" t="s">
        <v>39</v>
      </c>
      <c r="E746" s="1" t="s">
        <v>172</v>
      </c>
      <c r="F746" s="1" t="s">
        <v>534</v>
      </c>
      <c r="G746" s="1" t="s">
        <v>320</v>
      </c>
      <c r="H746" s="1" t="s">
        <v>353</v>
      </c>
      <c r="I746" s="1" t="s">
        <v>174</v>
      </c>
      <c r="J746" s="1" t="s">
        <v>101</v>
      </c>
      <c r="L746" s="1">
        <v>2552965</v>
      </c>
      <c r="M746" s="1" t="s">
        <v>929</v>
      </c>
      <c r="N746" s="8">
        <f t="shared" si="247"/>
        <v>43398</v>
      </c>
      <c r="O746" s="8">
        <f t="shared" si="248"/>
        <v>44858</v>
      </c>
      <c r="P746" s="1">
        <v>3500</v>
      </c>
      <c r="Q746" s="1">
        <v>3200</v>
      </c>
      <c r="R746" s="1">
        <f t="shared" si="227"/>
        <v>3200</v>
      </c>
      <c r="S746" s="1">
        <v>2.5</v>
      </c>
      <c r="U746" s="1">
        <f t="shared" si="228"/>
        <v>1461</v>
      </c>
      <c r="V746" s="7">
        <f t="shared" si="229"/>
        <v>2.1902806297056809</v>
      </c>
      <c r="W746" s="7">
        <f t="shared" si="230"/>
        <v>799.45242984257357</v>
      </c>
      <c r="X746" s="7">
        <f t="shared" si="231"/>
        <v>0.99931553730321698</v>
      </c>
      <c r="AA746" s="8">
        <f t="shared" si="232"/>
        <v>44927</v>
      </c>
      <c r="AB746" s="8">
        <f t="shared" si="233"/>
        <v>45291</v>
      </c>
      <c r="AC746" s="1">
        <v>20</v>
      </c>
      <c r="AD746" s="1">
        <f t="shared" si="234"/>
        <v>0</v>
      </c>
      <c r="AE746" s="1">
        <f t="shared" si="235"/>
        <v>0</v>
      </c>
      <c r="AF746" s="1">
        <f t="shared" si="236"/>
        <v>0</v>
      </c>
      <c r="AG746" s="1">
        <f t="shared" si="237"/>
        <v>0</v>
      </c>
      <c r="AH746" s="1">
        <f t="shared" si="238"/>
        <v>182.5</v>
      </c>
      <c r="AI746" s="5">
        <f t="shared" si="239"/>
        <v>0.5</v>
      </c>
      <c r="AJ746" s="5">
        <f t="shared" si="240"/>
        <v>0.49965776865160849</v>
      </c>
      <c r="AK746" s="5">
        <f t="shared" si="241"/>
        <v>4.9965776865160851</v>
      </c>
      <c r="AL746" s="5">
        <f t="shared" si="242"/>
        <v>12.491444216290212</v>
      </c>
      <c r="AM746" s="5">
        <f t="shared" si="243"/>
        <v>0</v>
      </c>
      <c r="AN746" s="5">
        <f t="shared" si="244"/>
        <v>12.491444216290212</v>
      </c>
      <c r="AO746" s="1" t="s">
        <v>111</v>
      </c>
    </row>
    <row r="747" spans="1:41" x14ac:dyDescent="0.25">
      <c r="A747" s="1" t="s">
        <v>19</v>
      </c>
      <c r="B747" s="1" t="s">
        <v>37</v>
      </c>
      <c r="C747" s="1" t="s">
        <v>21</v>
      </c>
      <c r="D747" s="1" t="s">
        <v>39</v>
      </c>
      <c r="E747" s="1" t="s">
        <v>172</v>
      </c>
      <c r="F747" s="1" t="s">
        <v>534</v>
      </c>
      <c r="G747" s="1" t="s">
        <v>320</v>
      </c>
      <c r="H747" s="1" t="s">
        <v>353</v>
      </c>
      <c r="I747" s="1" t="s">
        <v>174</v>
      </c>
      <c r="J747" s="1" t="s">
        <v>101</v>
      </c>
      <c r="L747" s="1">
        <v>2552967</v>
      </c>
      <c r="M747" s="1" t="s">
        <v>929</v>
      </c>
      <c r="N747" s="8">
        <f t="shared" si="247"/>
        <v>43398</v>
      </c>
      <c r="O747" s="8">
        <f t="shared" si="248"/>
        <v>44858</v>
      </c>
      <c r="P747" s="1">
        <v>3500</v>
      </c>
      <c r="Q747" s="1">
        <v>3200</v>
      </c>
      <c r="R747" s="1">
        <f t="shared" si="227"/>
        <v>3200</v>
      </c>
      <c r="S747" s="1">
        <v>2.5</v>
      </c>
      <c r="U747" s="1">
        <f t="shared" si="228"/>
        <v>1461</v>
      </c>
      <c r="V747" s="7">
        <f t="shared" si="229"/>
        <v>2.1902806297056809</v>
      </c>
      <c r="W747" s="7">
        <f t="shared" si="230"/>
        <v>799.45242984257357</v>
      </c>
      <c r="X747" s="7">
        <f t="shared" si="231"/>
        <v>0.99931553730321698</v>
      </c>
      <c r="AA747" s="8">
        <f t="shared" si="232"/>
        <v>44927</v>
      </c>
      <c r="AB747" s="8">
        <f t="shared" si="233"/>
        <v>45291</v>
      </c>
      <c r="AC747" s="1">
        <v>26</v>
      </c>
      <c r="AD747" s="1">
        <f t="shared" si="234"/>
        <v>0</v>
      </c>
      <c r="AE747" s="1">
        <f t="shared" si="235"/>
        <v>0</v>
      </c>
      <c r="AF747" s="1">
        <f t="shared" si="236"/>
        <v>0</v>
      </c>
      <c r="AG747" s="1">
        <f t="shared" si="237"/>
        <v>0</v>
      </c>
      <c r="AH747" s="1">
        <f t="shared" si="238"/>
        <v>182.5</v>
      </c>
      <c r="AI747" s="5">
        <f t="shared" si="239"/>
        <v>0.5</v>
      </c>
      <c r="AJ747" s="5">
        <f t="shared" si="240"/>
        <v>0.49965776865160849</v>
      </c>
      <c r="AK747" s="5">
        <f t="shared" si="241"/>
        <v>6.4955509924709105</v>
      </c>
      <c r="AL747" s="5">
        <f t="shared" si="242"/>
        <v>16.238877481177276</v>
      </c>
      <c r="AM747" s="5">
        <f t="shared" si="243"/>
        <v>0</v>
      </c>
      <c r="AN747" s="5">
        <f t="shared" si="244"/>
        <v>16.238877481177276</v>
      </c>
      <c r="AO747" s="1" t="s">
        <v>111</v>
      </c>
    </row>
    <row r="748" spans="1:41" x14ac:dyDescent="0.25">
      <c r="A748" s="1" t="s">
        <v>19</v>
      </c>
      <c r="B748" s="1" t="s">
        <v>37</v>
      </c>
      <c r="C748" s="1" t="s">
        <v>21</v>
      </c>
      <c r="D748" s="1" t="s">
        <v>39</v>
      </c>
      <c r="E748" s="1" t="s">
        <v>172</v>
      </c>
      <c r="F748" s="1" t="s">
        <v>534</v>
      </c>
      <c r="G748" s="1" t="s">
        <v>320</v>
      </c>
      <c r="H748" s="1" t="s">
        <v>353</v>
      </c>
      <c r="I748" s="1" t="s">
        <v>174</v>
      </c>
      <c r="J748" s="1" t="s">
        <v>101</v>
      </c>
      <c r="L748" s="1">
        <v>2552968</v>
      </c>
      <c r="M748" s="1" t="s">
        <v>929</v>
      </c>
      <c r="N748" s="8">
        <f t="shared" si="247"/>
        <v>43398</v>
      </c>
      <c r="O748" s="8">
        <f t="shared" si="248"/>
        <v>44858</v>
      </c>
      <c r="P748" s="1">
        <v>3500</v>
      </c>
      <c r="Q748" s="1">
        <v>3200</v>
      </c>
      <c r="R748" s="1">
        <f t="shared" si="227"/>
        <v>3200</v>
      </c>
      <c r="S748" s="1">
        <v>2.5</v>
      </c>
      <c r="U748" s="1">
        <f t="shared" si="228"/>
        <v>1461</v>
      </c>
      <c r="V748" s="7">
        <f t="shared" si="229"/>
        <v>2.1902806297056809</v>
      </c>
      <c r="W748" s="7">
        <f t="shared" si="230"/>
        <v>799.45242984257357</v>
      </c>
      <c r="X748" s="7">
        <f t="shared" si="231"/>
        <v>0.99931553730321698</v>
      </c>
      <c r="AA748" s="8">
        <f t="shared" si="232"/>
        <v>44927</v>
      </c>
      <c r="AB748" s="8">
        <f t="shared" si="233"/>
        <v>45291</v>
      </c>
      <c r="AC748" s="1">
        <v>24</v>
      </c>
      <c r="AD748" s="1">
        <f t="shared" si="234"/>
        <v>0</v>
      </c>
      <c r="AE748" s="1">
        <f t="shared" si="235"/>
        <v>0</v>
      </c>
      <c r="AF748" s="1">
        <f t="shared" si="236"/>
        <v>0</v>
      </c>
      <c r="AG748" s="1">
        <f t="shared" si="237"/>
        <v>0</v>
      </c>
      <c r="AH748" s="1">
        <f t="shared" si="238"/>
        <v>182.5</v>
      </c>
      <c r="AI748" s="5">
        <f t="shared" si="239"/>
        <v>0.5</v>
      </c>
      <c r="AJ748" s="5">
        <f t="shared" si="240"/>
        <v>0.49965776865160849</v>
      </c>
      <c r="AK748" s="5">
        <f t="shared" si="241"/>
        <v>5.9958932238193015</v>
      </c>
      <c r="AL748" s="5">
        <f t="shared" si="242"/>
        <v>14.989733059548254</v>
      </c>
      <c r="AM748" s="5">
        <f t="shared" si="243"/>
        <v>0</v>
      </c>
      <c r="AN748" s="5">
        <f t="shared" si="244"/>
        <v>14.989733059548254</v>
      </c>
      <c r="AO748" s="1" t="s">
        <v>111</v>
      </c>
    </row>
    <row r="749" spans="1:41" x14ac:dyDescent="0.25">
      <c r="A749" s="1" t="s">
        <v>19</v>
      </c>
      <c r="B749" s="1" t="s">
        <v>37</v>
      </c>
      <c r="C749" s="1" t="s">
        <v>21</v>
      </c>
      <c r="D749" s="1" t="s">
        <v>39</v>
      </c>
      <c r="E749" s="1" t="s">
        <v>172</v>
      </c>
      <c r="F749" s="1" t="s">
        <v>534</v>
      </c>
      <c r="G749" s="1" t="s">
        <v>320</v>
      </c>
      <c r="H749" s="1" t="s">
        <v>353</v>
      </c>
      <c r="I749" s="1" t="s">
        <v>174</v>
      </c>
      <c r="J749" s="1" t="s">
        <v>101</v>
      </c>
      <c r="L749" s="1">
        <v>2552970</v>
      </c>
      <c r="M749" s="1" t="s">
        <v>929</v>
      </c>
      <c r="N749" s="8">
        <f t="shared" si="247"/>
        <v>43398</v>
      </c>
      <c r="O749" s="8">
        <f t="shared" si="248"/>
        <v>44858</v>
      </c>
      <c r="P749" s="1">
        <v>3500</v>
      </c>
      <c r="Q749" s="1">
        <v>3200</v>
      </c>
      <c r="R749" s="1">
        <f t="shared" si="227"/>
        <v>3200</v>
      </c>
      <c r="S749" s="1">
        <v>2.5</v>
      </c>
      <c r="U749" s="1">
        <f t="shared" si="228"/>
        <v>1461</v>
      </c>
      <c r="V749" s="7">
        <f t="shared" si="229"/>
        <v>2.1902806297056809</v>
      </c>
      <c r="W749" s="7">
        <f t="shared" si="230"/>
        <v>799.45242984257357</v>
      </c>
      <c r="X749" s="7">
        <f t="shared" si="231"/>
        <v>0.99931553730321698</v>
      </c>
      <c r="AA749" s="8">
        <f t="shared" si="232"/>
        <v>44927</v>
      </c>
      <c r="AB749" s="8">
        <f t="shared" si="233"/>
        <v>45291</v>
      </c>
      <c r="AC749" s="1">
        <v>11</v>
      </c>
      <c r="AD749" s="1">
        <f t="shared" si="234"/>
        <v>0</v>
      </c>
      <c r="AE749" s="1">
        <f t="shared" si="235"/>
        <v>0</v>
      </c>
      <c r="AF749" s="1">
        <f t="shared" si="236"/>
        <v>0</v>
      </c>
      <c r="AG749" s="1">
        <f t="shared" si="237"/>
        <v>0</v>
      </c>
      <c r="AH749" s="1">
        <f t="shared" si="238"/>
        <v>182.5</v>
      </c>
      <c r="AI749" s="5">
        <f t="shared" si="239"/>
        <v>0.5</v>
      </c>
      <c r="AJ749" s="5">
        <f t="shared" si="240"/>
        <v>0.49965776865160849</v>
      </c>
      <c r="AK749" s="5">
        <f t="shared" si="241"/>
        <v>2.7481177275838466</v>
      </c>
      <c r="AL749" s="5">
        <f t="shared" si="242"/>
        <v>6.8702943189596164</v>
      </c>
      <c r="AM749" s="5">
        <f t="shared" si="243"/>
        <v>0</v>
      </c>
      <c r="AN749" s="5">
        <f t="shared" si="244"/>
        <v>6.8702943189596164</v>
      </c>
      <c r="AO749" s="1" t="s">
        <v>111</v>
      </c>
    </row>
    <row r="750" spans="1:41" x14ac:dyDescent="0.25">
      <c r="A750" s="1" t="s">
        <v>19</v>
      </c>
      <c r="B750" s="1" t="s">
        <v>37</v>
      </c>
      <c r="C750" s="1" t="s">
        <v>21</v>
      </c>
      <c r="D750" s="1" t="s">
        <v>39</v>
      </c>
      <c r="E750" s="1" t="s">
        <v>172</v>
      </c>
      <c r="F750" s="1" t="s">
        <v>534</v>
      </c>
      <c r="G750" s="1" t="s">
        <v>320</v>
      </c>
      <c r="H750" s="1" t="s">
        <v>321</v>
      </c>
      <c r="I750" s="1" t="s">
        <v>174</v>
      </c>
      <c r="J750" s="1" t="s">
        <v>101</v>
      </c>
      <c r="L750" s="1">
        <v>2553206</v>
      </c>
      <c r="M750" s="1" t="s">
        <v>930</v>
      </c>
      <c r="N750" s="8">
        <f t="shared" si="247"/>
        <v>43398</v>
      </c>
      <c r="O750" s="8">
        <f t="shared" si="248"/>
        <v>44858</v>
      </c>
      <c r="P750" s="1">
        <v>3470</v>
      </c>
      <c r="Q750" s="1">
        <v>3200</v>
      </c>
      <c r="R750" s="1">
        <f t="shared" si="227"/>
        <v>3200</v>
      </c>
      <c r="S750" s="1">
        <v>2.5</v>
      </c>
      <c r="U750" s="1">
        <f t="shared" si="228"/>
        <v>1461</v>
      </c>
      <c r="V750" s="7">
        <f t="shared" si="229"/>
        <v>2.1902806297056809</v>
      </c>
      <c r="W750" s="7">
        <f t="shared" si="230"/>
        <v>799.45242984257357</v>
      </c>
      <c r="X750" s="7">
        <f t="shared" si="231"/>
        <v>0.99931553730321698</v>
      </c>
      <c r="AA750" s="8">
        <f t="shared" si="232"/>
        <v>44927</v>
      </c>
      <c r="AB750" s="8">
        <f t="shared" si="233"/>
        <v>45291</v>
      </c>
      <c r="AC750" s="1">
        <v>21</v>
      </c>
      <c r="AD750" s="1">
        <f t="shared" si="234"/>
        <v>0</v>
      </c>
      <c r="AE750" s="1">
        <f t="shared" si="235"/>
        <v>0</v>
      </c>
      <c r="AF750" s="1">
        <f t="shared" si="236"/>
        <v>0</v>
      </c>
      <c r="AG750" s="1">
        <f t="shared" si="237"/>
        <v>0</v>
      </c>
      <c r="AH750" s="1">
        <f t="shared" si="238"/>
        <v>182.5</v>
      </c>
      <c r="AI750" s="5">
        <f t="shared" si="239"/>
        <v>0.5</v>
      </c>
      <c r="AJ750" s="5">
        <f t="shared" si="240"/>
        <v>0.49965776865160849</v>
      </c>
      <c r="AK750" s="5">
        <f t="shared" si="241"/>
        <v>5.2464065708418888</v>
      </c>
      <c r="AL750" s="5">
        <f t="shared" si="242"/>
        <v>13.116016427104721</v>
      </c>
      <c r="AM750" s="5">
        <f t="shared" si="243"/>
        <v>0</v>
      </c>
      <c r="AN750" s="5">
        <f t="shared" si="244"/>
        <v>13.116016427104721</v>
      </c>
      <c r="AO750" s="1" t="s">
        <v>111</v>
      </c>
    </row>
    <row r="751" spans="1:41" x14ac:dyDescent="0.25">
      <c r="A751" s="1" t="s">
        <v>19</v>
      </c>
      <c r="B751" s="1" t="s">
        <v>37</v>
      </c>
      <c r="C751" s="1" t="s">
        <v>21</v>
      </c>
      <c r="D751" s="1" t="s">
        <v>39</v>
      </c>
      <c r="E751" s="1" t="s">
        <v>172</v>
      </c>
      <c r="F751" s="1" t="s">
        <v>534</v>
      </c>
      <c r="G751" s="1" t="s">
        <v>320</v>
      </c>
      <c r="H751" s="1" t="s">
        <v>321</v>
      </c>
      <c r="I751" s="1" t="s">
        <v>174</v>
      </c>
      <c r="J751" s="1" t="s">
        <v>101</v>
      </c>
      <c r="L751" s="1">
        <v>2553209</v>
      </c>
      <c r="M751" s="1" t="s">
        <v>930</v>
      </c>
      <c r="N751" s="8">
        <f t="shared" si="247"/>
        <v>43398</v>
      </c>
      <c r="O751" s="8">
        <f t="shared" si="248"/>
        <v>44858</v>
      </c>
      <c r="P751" s="1">
        <v>3470</v>
      </c>
      <c r="Q751" s="1">
        <v>3200</v>
      </c>
      <c r="R751" s="1">
        <f t="shared" si="227"/>
        <v>3200</v>
      </c>
      <c r="S751" s="1">
        <v>2.5</v>
      </c>
      <c r="U751" s="1">
        <f t="shared" si="228"/>
        <v>1461</v>
      </c>
      <c r="V751" s="7">
        <f t="shared" si="229"/>
        <v>2.1902806297056809</v>
      </c>
      <c r="W751" s="7">
        <f t="shared" si="230"/>
        <v>799.45242984257357</v>
      </c>
      <c r="X751" s="7">
        <f t="shared" si="231"/>
        <v>0.99931553730321698</v>
      </c>
      <c r="AA751" s="8">
        <f t="shared" si="232"/>
        <v>44927</v>
      </c>
      <c r="AB751" s="8">
        <f t="shared" si="233"/>
        <v>45291</v>
      </c>
      <c r="AC751" s="1">
        <v>24</v>
      </c>
      <c r="AD751" s="1">
        <f t="shared" si="234"/>
        <v>0</v>
      </c>
      <c r="AE751" s="1">
        <f t="shared" si="235"/>
        <v>0</v>
      </c>
      <c r="AF751" s="1">
        <f t="shared" si="236"/>
        <v>0</v>
      </c>
      <c r="AG751" s="1">
        <f t="shared" si="237"/>
        <v>0</v>
      </c>
      <c r="AH751" s="1">
        <f t="shared" si="238"/>
        <v>182.5</v>
      </c>
      <c r="AI751" s="5">
        <f t="shared" si="239"/>
        <v>0.5</v>
      </c>
      <c r="AJ751" s="5">
        <f t="shared" si="240"/>
        <v>0.49965776865160849</v>
      </c>
      <c r="AK751" s="5">
        <f t="shared" si="241"/>
        <v>5.9958932238193015</v>
      </c>
      <c r="AL751" s="5">
        <f t="shared" si="242"/>
        <v>14.989733059548254</v>
      </c>
      <c r="AM751" s="5">
        <f t="shared" si="243"/>
        <v>0</v>
      </c>
      <c r="AN751" s="5">
        <f t="shared" si="244"/>
        <v>14.989733059548254</v>
      </c>
      <c r="AO751" s="1" t="s">
        <v>111</v>
      </c>
    </row>
    <row r="752" spans="1:41" x14ac:dyDescent="0.25">
      <c r="A752" s="1" t="s">
        <v>19</v>
      </c>
      <c r="B752" s="1" t="s">
        <v>37</v>
      </c>
      <c r="C752" s="1" t="s">
        <v>21</v>
      </c>
      <c r="D752" s="1" t="s">
        <v>39</v>
      </c>
      <c r="E752" s="1" t="s">
        <v>172</v>
      </c>
      <c r="F752" s="1" t="s">
        <v>534</v>
      </c>
      <c r="G752" s="1" t="s">
        <v>320</v>
      </c>
      <c r="H752" s="1" t="s">
        <v>321</v>
      </c>
      <c r="I752" s="1" t="s">
        <v>174</v>
      </c>
      <c r="J752" s="1" t="s">
        <v>101</v>
      </c>
      <c r="L752" s="1">
        <v>2553211</v>
      </c>
      <c r="M752" s="1" t="s">
        <v>930</v>
      </c>
      <c r="N752" s="8">
        <f t="shared" si="247"/>
        <v>43398</v>
      </c>
      <c r="O752" s="8">
        <f t="shared" si="248"/>
        <v>44858</v>
      </c>
      <c r="P752" s="1">
        <v>3470</v>
      </c>
      <c r="Q752" s="1">
        <v>3200</v>
      </c>
      <c r="R752" s="1">
        <f t="shared" si="227"/>
        <v>3200</v>
      </c>
      <c r="S752" s="1">
        <v>2.5</v>
      </c>
      <c r="U752" s="1">
        <f t="shared" si="228"/>
        <v>1461</v>
      </c>
      <c r="V752" s="7">
        <f t="shared" si="229"/>
        <v>2.1902806297056809</v>
      </c>
      <c r="W752" s="7">
        <f t="shared" si="230"/>
        <v>799.45242984257357</v>
      </c>
      <c r="X752" s="7">
        <f t="shared" si="231"/>
        <v>0.99931553730321698</v>
      </c>
      <c r="AA752" s="8">
        <f t="shared" si="232"/>
        <v>44927</v>
      </c>
      <c r="AB752" s="8">
        <f t="shared" si="233"/>
        <v>45291</v>
      </c>
      <c r="AC752" s="1">
        <v>29</v>
      </c>
      <c r="AD752" s="1">
        <f t="shared" si="234"/>
        <v>0</v>
      </c>
      <c r="AE752" s="1">
        <f t="shared" si="235"/>
        <v>0</v>
      </c>
      <c r="AF752" s="1">
        <f t="shared" si="236"/>
        <v>0</v>
      </c>
      <c r="AG752" s="1">
        <f t="shared" si="237"/>
        <v>0</v>
      </c>
      <c r="AH752" s="1">
        <f t="shared" si="238"/>
        <v>182.5</v>
      </c>
      <c r="AI752" s="5">
        <f t="shared" si="239"/>
        <v>0.5</v>
      </c>
      <c r="AJ752" s="5">
        <f t="shared" si="240"/>
        <v>0.49965776865160849</v>
      </c>
      <c r="AK752" s="5">
        <f t="shared" si="241"/>
        <v>7.2450376454483232</v>
      </c>
      <c r="AL752" s="5">
        <f t="shared" si="242"/>
        <v>18.112594113620808</v>
      </c>
      <c r="AM752" s="5">
        <f t="shared" si="243"/>
        <v>0</v>
      </c>
      <c r="AN752" s="5">
        <f t="shared" si="244"/>
        <v>18.112594113620808</v>
      </c>
      <c r="AO752" s="1" t="s">
        <v>111</v>
      </c>
    </row>
    <row r="753" spans="1:41" x14ac:dyDescent="0.25">
      <c r="A753" s="1" t="s">
        <v>19</v>
      </c>
      <c r="B753" s="1" t="s">
        <v>37</v>
      </c>
      <c r="C753" s="1" t="s">
        <v>21</v>
      </c>
      <c r="D753" s="1" t="s">
        <v>39</v>
      </c>
      <c r="E753" s="1" t="s">
        <v>172</v>
      </c>
      <c r="F753" s="1" t="s">
        <v>534</v>
      </c>
      <c r="G753" s="1" t="s">
        <v>320</v>
      </c>
      <c r="H753" s="1" t="s">
        <v>321</v>
      </c>
      <c r="I753" s="1" t="s">
        <v>174</v>
      </c>
      <c r="J753" s="1" t="s">
        <v>101</v>
      </c>
      <c r="L753" s="1">
        <v>2553212</v>
      </c>
      <c r="M753" s="1" t="s">
        <v>930</v>
      </c>
      <c r="N753" s="8">
        <f t="shared" si="247"/>
        <v>43398</v>
      </c>
      <c r="O753" s="8">
        <f t="shared" si="248"/>
        <v>44858</v>
      </c>
      <c r="P753" s="1">
        <v>3470</v>
      </c>
      <c r="Q753" s="1">
        <v>3200</v>
      </c>
      <c r="R753" s="1">
        <f t="shared" si="227"/>
        <v>3200</v>
      </c>
      <c r="S753" s="1">
        <v>2.5</v>
      </c>
      <c r="U753" s="1">
        <f t="shared" si="228"/>
        <v>1461</v>
      </c>
      <c r="V753" s="7">
        <f t="shared" si="229"/>
        <v>2.1902806297056809</v>
      </c>
      <c r="W753" s="7">
        <f t="shared" si="230"/>
        <v>799.45242984257357</v>
      </c>
      <c r="X753" s="7">
        <f t="shared" si="231"/>
        <v>0.99931553730321698</v>
      </c>
      <c r="AA753" s="8">
        <f t="shared" si="232"/>
        <v>44927</v>
      </c>
      <c r="AB753" s="8">
        <f t="shared" si="233"/>
        <v>45291</v>
      </c>
      <c r="AC753" s="1">
        <v>18</v>
      </c>
      <c r="AD753" s="1">
        <f t="shared" si="234"/>
        <v>0</v>
      </c>
      <c r="AE753" s="1">
        <f t="shared" si="235"/>
        <v>0</v>
      </c>
      <c r="AF753" s="1">
        <f t="shared" si="236"/>
        <v>0</v>
      </c>
      <c r="AG753" s="1">
        <f t="shared" si="237"/>
        <v>0</v>
      </c>
      <c r="AH753" s="1">
        <f t="shared" si="238"/>
        <v>182.5</v>
      </c>
      <c r="AI753" s="5">
        <f t="shared" si="239"/>
        <v>0.5</v>
      </c>
      <c r="AJ753" s="5">
        <f t="shared" si="240"/>
        <v>0.49965776865160849</v>
      </c>
      <c r="AK753" s="5">
        <f t="shared" si="241"/>
        <v>4.4969199178644761</v>
      </c>
      <c r="AL753" s="5">
        <f t="shared" si="242"/>
        <v>11.242299794661189</v>
      </c>
      <c r="AM753" s="5">
        <f t="shared" si="243"/>
        <v>0</v>
      </c>
      <c r="AN753" s="5">
        <f t="shared" si="244"/>
        <v>11.242299794661189</v>
      </c>
      <c r="AO753" s="1" t="s">
        <v>111</v>
      </c>
    </row>
    <row r="754" spans="1:41" x14ac:dyDescent="0.25">
      <c r="A754" s="1" t="s">
        <v>19</v>
      </c>
      <c r="B754" s="1" t="s">
        <v>37</v>
      </c>
      <c r="C754" s="1" t="s">
        <v>21</v>
      </c>
      <c r="D754" s="1" t="s">
        <v>39</v>
      </c>
      <c r="E754" s="1" t="s">
        <v>172</v>
      </c>
      <c r="F754" s="1" t="s">
        <v>534</v>
      </c>
      <c r="G754" s="1" t="s">
        <v>320</v>
      </c>
      <c r="H754" s="1" t="s">
        <v>321</v>
      </c>
      <c r="I754" s="1" t="s">
        <v>174</v>
      </c>
      <c r="J754" s="1" t="s">
        <v>101</v>
      </c>
      <c r="L754" s="1">
        <v>2553213</v>
      </c>
      <c r="M754" s="1" t="s">
        <v>930</v>
      </c>
      <c r="N754" s="8">
        <f t="shared" si="247"/>
        <v>43398</v>
      </c>
      <c r="O754" s="8">
        <f t="shared" si="248"/>
        <v>44858</v>
      </c>
      <c r="P754" s="1">
        <v>3470</v>
      </c>
      <c r="Q754" s="1">
        <v>3200</v>
      </c>
      <c r="R754" s="1">
        <f t="shared" si="227"/>
        <v>3200</v>
      </c>
      <c r="S754" s="1">
        <v>2.5</v>
      </c>
      <c r="U754" s="1">
        <f t="shared" si="228"/>
        <v>1461</v>
      </c>
      <c r="V754" s="7">
        <f t="shared" si="229"/>
        <v>2.1902806297056809</v>
      </c>
      <c r="W754" s="7">
        <f t="shared" si="230"/>
        <v>799.45242984257357</v>
      </c>
      <c r="X754" s="7">
        <f t="shared" si="231"/>
        <v>0.99931553730321698</v>
      </c>
      <c r="AA754" s="8">
        <f t="shared" si="232"/>
        <v>44927</v>
      </c>
      <c r="AB754" s="8">
        <f t="shared" si="233"/>
        <v>45291</v>
      </c>
      <c r="AC754" s="1">
        <v>28</v>
      </c>
      <c r="AD754" s="1">
        <f t="shared" si="234"/>
        <v>0</v>
      </c>
      <c r="AE754" s="1">
        <f t="shared" si="235"/>
        <v>0</v>
      </c>
      <c r="AF754" s="1">
        <f t="shared" si="236"/>
        <v>0</v>
      </c>
      <c r="AG754" s="1">
        <f t="shared" si="237"/>
        <v>0</v>
      </c>
      <c r="AH754" s="1">
        <f t="shared" si="238"/>
        <v>182.5</v>
      </c>
      <c r="AI754" s="5">
        <f t="shared" si="239"/>
        <v>0.5</v>
      </c>
      <c r="AJ754" s="5">
        <f t="shared" si="240"/>
        <v>0.49965776865160849</v>
      </c>
      <c r="AK754" s="5">
        <f t="shared" si="241"/>
        <v>6.9952087611225187</v>
      </c>
      <c r="AL754" s="5">
        <f t="shared" si="242"/>
        <v>17.488021902806295</v>
      </c>
      <c r="AM754" s="5">
        <f t="shared" si="243"/>
        <v>0</v>
      </c>
      <c r="AN754" s="5">
        <f t="shared" si="244"/>
        <v>17.488021902806295</v>
      </c>
      <c r="AO754" s="1" t="s">
        <v>111</v>
      </c>
    </row>
    <row r="755" spans="1:41" x14ac:dyDescent="0.25">
      <c r="A755" s="1" t="s">
        <v>19</v>
      </c>
      <c r="B755" s="1" t="s">
        <v>37</v>
      </c>
      <c r="C755" s="1" t="s">
        <v>21</v>
      </c>
      <c r="D755" s="1" t="s">
        <v>39</v>
      </c>
      <c r="E755" s="1" t="s">
        <v>172</v>
      </c>
      <c r="F755" s="1" t="s">
        <v>534</v>
      </c>
      <c r="G755" s="1" t="s">
        <v>320</v>
      </c>
      <c r="H755" s="1" t="s">
        <v>321</v>
      </c>
      <c r="I755" s="1" t="s">
        <v>174</v>
      </c>
      <c r="J755" s="1" t="s">
        <v>101</v>
      </c>
      <c r="L755" s="1">
        <v>2553215</v>
      </c>
      <c r="M755" s="1" t="s">
        <v>930</v>
      </c>
      <c r="N755" s="8">
        <f t="shared" si="247"/>
        <v>43398</v>
      </c>
      <c r="O755" s="8">
        <f t="shared" si="248"/>
        <v>44858</v>
      </c>
      <c r="P755" s="1">
        <v>3470</v>
      </c>
      <c r="Q755" s="1">
        <v>3200</v>
      </c>
      <c r="R755" s="1">
        <f t="shared" si="227"/>
        <v>3200</v>
      </c>
      <c r="S755" s="1">
        <v>2.5</v>
      </c>
      <c r="U755" s="1">
        <f t="shared" si="228"/>
        <v>1461</v>
      </c>
      <c r="V755" s="7">
        <f t="shared" si="229"/>
        <v>2.1902806297056809</v>
      </c>
      <c r="W755" s="7">
        <f t="shared" si="230"/>
        <v>799.45242984257357</v>
      </c>
      <c r="X755" s="7">
        <f t="shared" si="231"/>
        <v>0.99931553730321698</v>
      </c>
      <c r="AA755" s="8">
        <f t="shared" si="232"/>
        <v>44927</v>
      </c>
      <c r="AB755" s="8">
        <f t="shared" si="233"/>
        <v>45291</v>
      </c>
      <c r="AC755" s="1">
        <v>34</v>
      </c>
      <c r="AD755" s="1">
        <f t="shared" si="234"/>
        <v>0</v>
      </c>
      <c r="AE755" s="1">
        <f t="shared" si="235"/>
        <v>0</v>
      </c>
      <c r="AF755" s="1">
        <f t="shared" si="236"/>
        <v>0</v>
      </c>
      <c r="AG755" s="1">
        <f t="shared" si="237"/>
        <v>0</v>
      </c>
      <c r="AH755" s="1">
        <f t="shared" si="238"/>
        <v>182.5</v>
      </c>
      <c r="AI755" s="5">
        <f t="shared" si="239"/>
        <v>0.5</v>
      </c>
      <c r="AJ755" s="5">
        <f t="shared" si="240"/>
        <v>0.49965776865160849</v>
      </c>
      <c r="AK755" s="5">
        <f t="shared" si="241"/>
        <v>8.4941820670773449</v>
      </c>
      <c r="AL755" s="5">
        <f t="shared" si="242"/>
        <v>21.235455167693363</v>
      </c>
      <c r="AM755" s="5">
        <f t="shared" si="243"/>
        <v>0</v>
      </c>
      <c r="AN755" s="5">
        <f t="shared" si="244"/>
        <v>21.235455167693363</v>
      </c>
      <c r="AO755" s="1" t="s">
        <v>111</v>
      </c>
    </row>
    <row r="756" spans="1:41" x14ac:dyDescent="0.25">
      <c r="A756" s="1" t="s">
        <v>19</v>
      </c>
      <c r="B756" s="1" t="s">
        <v>37</v>
      </c>
      <c r="C756" s="1" t="s">
        <v>21</v>
      </c>
      <c r="D756" s="1" t="s">
        <v>39</v>
      </c>
      <c r="E756" s="1" t="s">
        <v>172</v>
      </c>
      <c r="F756" s="1" t="s">
        <v>534</v>
      </c>
      <c r="G756" s="1" t="s">
        <v>320</v>
      </c>
      <c r="H756" s="1" t="s">
        <v>321</v>
      </c>
      <c r="I756" s="1" t="s">
        <v>174</v>
      </c>
      <c r="J756" s="1" t="s">
        <v>101</v>
      </c>
      <c r="L756" s="1">
        <v>2553219</v>
      </c>
      <c r="M756" s="1" t="s">
        <v>930</v>
      </c>
      <c r="N756" s="8">
        <f t="shared" si="247"/>
        <v>43398</v>
      </c>
      <c r="O756" s="8">
        <f t="shared" si="248"/>
        <v>44858</v>
      </c>
      <c r="P756" s="1">
        <v>3470</v>
      </c>
      <c r="Q756" s="1">
        <v>3200</v>
      </c>
      <c r="R756" s="1">
        <f t="shared" si="227"/>
        <v>3200</v>
      </c>
      <c r="S756" s="1">
        <v>2.5</v>
      </c>
      <c r="U756" s="1">
        <f t="shared" si="228"/>
        <v>1461</v>
      </c>
      <c r="V756" s="7">
        <f t="shared" si="229"/>
        <v>2.1902806297056809</v>
      </c>
      <c r="W756" s="7">
        <f t="shared" si="230"/>
        <v>799.45242984257357</v>
      </c>
      <c r="X756" s="7">
        <f t="shared" si="231"/>
        <v>0.99931553730321698</v>
      </c>
      <c r="AA756" s="8">
        <f t="shared" si="232"/>
        <v>44927</v>
      </c>
      <c r="AB756" s="8">
        <f t="shared" si="233"/>
        <v>45291</v>
      </c>
      <c r="AC756" s="1">
        <v>22</v>
      </c>
      <c r="AD756" s="1">
        <f t="shared" si="234"/>
        <v>0</v>
      </c>
      <c r="AE756" s="1">
        <f t="shared" si="235"/>
        <v>0</v>
      </c>
      <c r="AF756" s="1">
        <f t="shared" si="236"/>
        <v>0</v>
      </c>
      <c r="AG756" s="1">
        <f t="shared" si="237"/>
        <v>0</v>
      </c>
      <c r="AH756" s="1">
        <f t="shared" si="238"/>
        <v>182.5</v>
      </c>
      <c r="AI756" s="5">
        <f t="shared" si="239"/>
        <v>0.5</v>
      </c>
      <c r="AJ756" s="5">
        <f t="shared" si="240"/>
        <v>0.49965776865160849</v>
      </c>
      <c r="AK756" s="5">
        <f t="shared" si="241"/>
        <v>5.4962354551676933</v>
      </c>
      <c r="AL756" s="5">
        <f t="shared" si="242"/>
        <v>13.740588637919233</v>
      </c>
      <c r="AM756" s="5">
        <f t="shared" si="243"/>
        <v>0</v>
      </c>
      <c r="AN756" s="5">
        <f t="shared" si="244"/>
        <v>13.740588637919233</v>
      </c>
      <c r="AO756" s="1" t="s">
        <v>111</v>
      </c>
    </row>
    <row r="757" spans="1:41" x14ac:dyDescent="0.25">
      <c r="A757" s="1" t="s">
        <v>19</v>
      </c>
      <c r="B757" s="1" t="s">
        <v>37</v>
      </c>
      <c r="C757" s="1" t="s">
        <v>21</v>
      </c>
      <c r="D757" s="1" t="s">
        <v>39</v>
      </c>
      <c r="E757" s="1" t="s">
        <v>172</v>
      </c>
      <c r="F757" s="1" t="s">
        <v>534</v>
      </c>
      <c r="G757" s="1" t="s">
        <v>320</v>
      </c>
      <c r="H757" s="1" t="s">
        <v>321</v>
      </c>
      <c r="I757" s="1" t="s">
        <v>174</v>
      </c>
      <c r="J757" s="1" t="s">
        <v>101</v>
      </c>
      <c r="L757" s="1">
        <v>2553220</v>
      </c>
      <c r="M757" s="1" t="s">
        <v>930</v>
      </c>
      <c r="N757" s="8">
        <f t="shared" si="247"/>
        <v>43398</v>
      </c>
      <c r="O757" s="8">
        <f t="shared" si="248"/>
        <v>44858</v>
      </c>
      <c r="P757" s="1">
        <v>3470</v>
      </c>
      <c r="Q757" s="1">
        <v>3200</v>
      </c>
      <c r="R757" s="1">
        <f t="shared" si="227"/>
        <v>3200</v>
      </c>
      <c r="S757" s="1">
        <v>2.5</v>
      </c>
      <c r="U757" s="1">
        <f t="shared" si="228"/>
        <v>1461</v>
      </c>
      <c r="V757" s="7">
        <f t="shared" si="229"/>
        <v>2.1902806297056809</v>
      </c>
      <c r="W757" s="7">
        <f t="shared" si="230"/>
        <v>799.45242984257357</v>
      </c>
      <c r="X757" s="7">
        <f t="shared" si="231"/>
        <v>0.99931553730321698</v>
      </c>
      <c r="AA757" s="8">
        <f t="shared" si="232"/>
        <v>44927</v>
      </c>
      <c r="AB757" s="8">
        <f t="shared" si="233"/>
        <v>45291</v>
      </c>
      <c r="AC757" s="1">
        <v>22</v>
      </c>
      <c r="AD757" s="1">
        <f t="shared" si="234"/>
        <v>0</v>
      </c>
      <c r="AE757" s="1">
        <f t="shared" si="235"/>
        <v>0</v>
      </c>
      <c r="AF757" s="1">
        <f t="shared" si="236"/>
        <v>0</v>
      </c>
      <c r="AG757" s="1">
        <f t="shared" si="237"/>
        <v>0</v>
      </c>
      <c r="AH757" s="1">
        <f t="shared" si="238"/>
        <v>182.5</v>
      </c>
      <c r="AI757" s="5">
        <f t="shared" si="239"/>
        <v>0.5</v>
      </c>
      <c r="AJ757" s="5">
        <f t="shared" si="240"/>
        <v>0.49965776865160849</v>
      </c>
      <c r="AK757" s="5">
        <f t="shared" si="241"/>
        <v>5.4962354551676933</v>
      </c>
      <c r="AL757" s="5">
        <f t="shared" si="242"/>
        <v>13.740588637919233</v>
      </c>
      <c r="AM757" s="5">
        <f t="shared" si="243"/>
        <v>0</v>
      </c>
      <c r="AN757" s="5">
        <f t="shared" si="244"/>
        <v>13.740588637919233</v>
      </c>
      <c r="AO757" s="1" t="s">
        <v>111</v>
      </c>
    </row>
    <row r="758" spans="1:41" x14ac:dyDescent="0.25">
      <c r="A758" s="1" t="s">
        <v>19</v>
      </c>
      <c r="B758" s="1" t="s">
        <v>37</v>
      </c>
      <c r="C758" s="1" t="s">
        <v>21</v>
      </c>
      <c r="D758" s="1" t="s">
        <v>39</v>
      </c>
      <c r="E758" s="1" t="s">
        <v>96</v>
      </c>
      <c r="F758" s="1" t="s">
        <v>103</v>
      </c>
      <c r="G758" s="1" t="s">
        <v>114</v>
      </c>
      <c r="H758" s="1" t="s">
        <v>894</v>
      </c>
      <c r="I758" s="1" t="s">
        <v>157</v>
      </c>
      <c r="J758" s="1" t="s">
        <v>101</v>
      </c>
      <c r="K758" s="1" t="s">
        <v>116</v>
      </c>
      <c r="L758" s="1">
        <v>2576006</v>
      </c>
      <c r="M758" s="1" t="s">
        <v>931</v>
      </c>
      <c r="N758" s="8">
        <f t="shared" ref="N758:N763" si="249">DATE(2019,2,4)</f>
        <v>43500</v>
      </c>
      <c r="O758" s="8">
        <f>DATE(2022,2,3)</f>
        <v>44595</v>
      </c>
      <c r="P758" s="1">
        <v>3689</v>
      </c>
      <c r="Q758" s="1">
        <v>1200</v>
      </c>
      <c r="R758" s="1">
        <f t="shared" si="227"/>
        <v>3200</v>
      </c>
      <c r="S758" s="1">
        <v>1.5</v>
      </c>
      <c r="U758" s="1">
        <f t="shared" si="228"/>
        <v>1096</v>
      </c>
      <c r="V758" s="7">
        <f t="shared" si="229"/>
        <v>2.9197080291970803</v>
      </c>
      <c r="W758" s="7">
        <f t="shared" si="230"/>
        <v>1065.6934306569342</v>
      </c>
      <c r="X758" s="7">
        <f t="shared" si="231"/>
        <v>1.3321167883211678</v>
      </c>
      <c r="AA758" s="8">
        <f t="shared" si="232"/>
        <v>44927</v>
      </c>
      <c r="AB758" s="8">
        <f t="shared" si="233"/>
        <v>45291</v>
      </c>
      <c r="AC758" s="1">
        <v>0</v>
      </c>
      <c r="AD758" s="1">
        <f t="shared" si="234"/>
        <v>0</v>
      </c>
      <c r="AE758" s="1">
        <f t="shared" si="235"/>
        <v>0</v>
      </c>
      <c r="AF758" s="1">
        <f t="shared" si="236"/>
        <v>0</v>
      </c>
      <c r="AG758" s="1">
        <f t="shared" si="237"/>
        <v>0</v>
      </c>
      <c r="AH758" s="1">
        <f t="shared" si="238"/>
        <v>182.5</v>
      </c>
      <c r="AI758" s="5">
        <f t="shared" si="239"/>
        <v>0.5</v>
      </c>
      <c r="AJ758" s="5">
        <f t="shared" si="240"/>
        <v>0.66605839416058388</v>
      </c>
      <c r="AK758" s="5">
        <f t="shared" si="241"/>
        <v>0</v>
      </c>
      <c r="AL758" s="5">
        <f t="shared" si="242"/>
        <v>0</v>
      </c>
      <c r="AM758" s="5">
        <f t="shared" si="243"/>
        <v>0</v>
      </c>
      <c r="AN758" s="5">
        <f t="shared" si="244"/>
        <v>0</v>
      </c>
      <c r="AO758" s="1" t="s">
        <v>102</v>
      </c>
    </row>
    <row r="759" spans="1:41" x14ac:dyDescent="0.25">
      <c r="A759" s="1" t="s">
        <v>19</v>
      </c>
      <c r="B759" s="1" t="s">
        <v>37</v>
      </c>
      <c r="C759" s="1" t="s">
        <v>21</v>
      </c>
      <c r="D759" s="1" t="s">
        <v>39</v>
      </c>
      <c r="E759" s="1" t="s">
        <v>96</v>
      </c>
      <c r="F759" s="1" t="s">
        <v>103</v>
      </c>
      <c r="G759" s="1" t="s">
        <v>114</v>
      </c>
      <c r="H759" s="1" t="s">
        <v>892</v>
      </c>
      <c r="I759" s="1" t="s">
        <v>194</v>
      </c>
      <c r="J759" s="1" t="s">
        <v>101</v>
      </c>
      <c r="K759" s="1" t="s">
        <v>116</v>
      </c>
      <c r="L759" s="1">
        <v>2576007</v>
      </c>
      <c r="M759" s="1" t="s">
        <v>932</v>
      </c>
      <c r="N759" s="8">
        <f t="shared" si="249"/>
        <v>43500</v>
      </c>
      <c r="O759" s="8">
        <f>DATE(2022,2,3)</f>
        <v>44595</v>
      </c>
      <c r="P759" s="1">
        <v>3689</v>
      </c>
      <c r="Q759" s="1">
        <v>1200</v>
      </c>
      <c r="R759" s="1">
        <f t="shared" si="227"/>
        <v>3200</v>
      </c>
      <c r="S759" s="1">
        <v>2.5</v>
      </c>
      <c r="U759" s="1">
        <f t="shared" si="228"/>
        <v>1096</v>
      </c>
      <c r="V759" s="7">
        <f t="shared" si="229"/>
        <v>2.9197080291970803</v>
      </c>
      <c r="W759" s="7">
        <f t="shared" si="230"/>
        <v>1065.6934306569342</v>
      </c>
      <c r="X759" s="7">
        <f t="shared" si="231"/>
        <v>1.3321167883211678</v>
      </c>
      <c r="AA759" s="8">
        <f t="shared" si="232"/>
        <v>44927</v>
      </c>
      <c r="AB759" s="8">
        <f t="shared" si="233"/>
        <v>45291</v>
      </c>
      <c r="AC759" s="1">
        <v>5</v>
      </c>
      <c r="AD759" s="1">
        <f t="shared" si="234"/>
        <v>0</v>
      </c>
      <c r="AE759" s="1">
        <f t="shared" si="235"/>
        <v>0</v>
      </c>
      <c r="AF759" s="1">
        <f t="shared" si="236"/>
        <v>0</v>
      </c>
      <c r="AG759" s="1">
        <f t="shared" si="237"/>
        <v>0</v>
      </c>
      <c r="AH759" s="1">
        <f t="shared" si="238"/>
        <v>182.5</v>
      </c>
      <c r="AI759" s="5">
        <f t="shared" si="239"/>
        <v>0.5</v>
      </c>
      <c r="AJ759" s="5">
        <f t="shared" si="240"/>
        <v>0.66605839416058388</v>
      </c>
      <c r="AK759" s="5">
        <f t="shared" si="241"/>
        <v>1.6651459854014596</v>
      </c>
      <c r="AL759" s="5">
        <f t="shared" si="242"/>
        <v>4.1628649635036492</v>
      </c>
      <c r="AM759" s="5">
        <f t="shared" si="243"/>
        <v>0</v>
      </c>
      <c r="AN759" s="5">
        <f t="shared" si="244"/>
        <v>4.1628649635036492</v>
      </c>
      <c r="AO759" s="1" t="s">
        <v>102</v>
      </c>
    </row>
    <row r="760" spans="1:41" x14ac:dyDescent="0.25">
      <c r="A760" s="1" t="s">
        <v>19</v>
      </c>
      <c r="B760" s="1" t="s">
        <v>37</v>
      </c>
      <c r="C760" s="1" t="s">
        <v>21</v>
      </c>
      <c r="D760" s="1" t="s">
        <v>39</v>
      </c>
      <c r="E760" s="1" t="s">
        <v>96</v>
      </c>
      <c r="F760" s="1" t="s">
        <v>103</v>
      </c>
      <c r="G760" s="1" t="s">
        <v>127</v>
      </c>
      <c r="H760" s="1" t="s">
        <v>872</v>
      </c>
      <c r="I760" s="1" t="s">
        <v>157</v>
      </c>
      <c r="J760" s="1" t="s">
        <v>101</v>
      </c>
      <c r="L760" s="1">
        <v>2576008</v>
      </c>
      <c r="M760" s="1" t="s">
        <v>933</v>
      </c>
      <c r="N760" s="8">
        <f t="shared" si="249"/>
        <v>43500</v>
      </c>
      <c r="O760" s="8">
        <f>DATE(2022,2,3)</f>
        <v>44595</v>
      </c>
      <c r="P760" s="1">
        <v>2160</v>
      </c>
      <c r="Q760" s="1">
        <v>1600</v>
      </c>
      <c r="R760" s="1">
        <f t="shared" si="227"/>
        <v>1600</v>
      </c>
      <c r="S760" s="1">
        <v>1</v>
      </c>
      <c r="U760" s="1">
        <f t="shared" si="228"/>
        <v>1096</v>
      </c>
      <c r="V760" s="7">
        <f t="shared" si="229"/>
        <v>1.4598540145985401</v>
      </c>
      <c r="W760" s="7">
        <f t="shared" si="230"/>
        <v>532.8467153284671</v>
      </c>
      <c r="X760" s="7">
        <f t="shared" si="231"/>
        <v>0.66605839416058388</v>
      </c>
      <c r="AA760" s="8">
        <f t="shared" si="232"/>
        <v>44927</v>
      </c>
      <c r="AB760" s="8">
        <f t="shared" si="233"/>
        <v>45291</v>
      </c>
      <c r="AC760" s="1">
        <v>5</v>
      </c>
      <c r="AD760" s="1">
        <f t="shared" si="234"/>
        <v>0</v>
      </c>
      <c r="AE760" s="1">
        <f t="shared" si="235"/>
        <v>0</v>
      </c>
      <c r="AF760" s="1">
        <f t="shared" si="236"/>
        <v>0</v>
      </c>
      <c r="AG760" s="1">
        <f t="shared" si="237"/>
        <v>0</v>
      </c>
      <c r="AH760" s="1">
        <f t="shared" si="238"/>
        <v>182.5</v>
      </c>
      <c r="AI760" s="5">
        <f t="shared" si="239"/>
        <v>0.5</v>
      </c>
      <c r="AJ760" s="5">
        <f t="shared" si="240"/>
        <v>0.33302919708029194</v>
      </c>
      <c r="AK760" s="5">
        <f t="shared" si="241"/>
        <v>0.83257299270072982</v>
      </c>
      <c r="AL760" s="5">
        <f t="shared" si="242"/>
        <v>0.83257299270072982</v>
      </c>
      <c r="AM760" s="5">
        <f t="shared" si="243"/>
        <v>0</v>
      </c>
      <c r="AN760" s="5">
        <f t="shared" si="244"/>
        <v>0.83257299270072982</v>
      </c>
      <c r="AO760" s="1" t="s">
        <v>102</v>
      </c>
    </row>
    <row r="761" spans="1:41" x14ac:dyDescent="0.25">
      <c r="A761" s="1" t="s">
        <v>19</v>
      </c>
      <c r="B761" s="1" t="s">
        <v>37</v>
      </c>
      <c r="C761" s="1" t="s">
        <v>21</v>
      </c>
      <c r="D761" s="1" t="s">
        <v>39</v>
      </c>
      <c r="E761" s="1" t="s">
        <v>96</v>
      </c>
      <c r="F761" s="1" t="s">
        <v>103</v>
      </c>
      <c r="G761" s="1" t="s">
        <v>98</v>
      </c>
      <c r="H761" s="1" t="s">
        <v>878</v>
      </c>
      <c r="I761" s="1" t="s">
        <v>255</v>
      </c>
      <c r="J761" s="1" t="s">
        <v>101</v>
      </c>
      <c r="L761" s="1">
        <v>2576010</v>
      </c>
      <c r="M761" s="1" t="s">
        <v>934</v>
      </c>
      <c r="N761" s="8">
        <f t="shared" si="249"/>
        <v>43500</v>
      </c>
      <c r="O761" s="8">
        <f>DATE(2024,2,3)</f>
        <v>45325</v>
      </c>
      <c r="P761" s="1">
        <v>4020</v>
      </c>
      <c r="Q761" s="1">
        <v>3600</v>
      </c>
      <c r="R761" s="1">
        <f t="shared" si="227"/>
        <v>3600</v>
      </c>
      <c r="S761" s="1">
        <v>2.5</v>
      </c>
      <c r="U761" s="1">
        <f t="shared" si="228"/>
        <v>1826</v>
      </c>
      <c r="V761" s="7">
        <f t="shared" si="229"/>
        <v>1.9715224534501643</v>
      </c>
      <c r="W761" s="7">
        <f t="shared" si="230"/>
        <v>719.60569550930995</v>
      </c>
      <c r="X761" s="7">
        <f t="shared" si="231"/>
        <v>0.89950711938663741</v>
      </c>
      <c r="AA761" s="8">
        <f t="shared" si="232"/>
        <v>44927</v>
      </c>
      <c r="AB761" s="8">
        <f t="shared" si="233"/>
        <v>45291</v>
      </c>
      <c r="AC761" s="1">
        <v>14</v>
      </c>
      <c r="AD761" s="1">
        <f t="shared" si="234"/>
        <v>365</v>
      </c>
      <c r="AE761" s="1">
        <f t="shared" si="235"/>
        <v>0</v>
      </c>
      <c r="AF761" s="1">
        <f t="shared" si="236"/>
        <v>0</v>
      </c>
      <c r="AG761" s="1">
        <f t="shared" si="237"/>
        <v>0</v>
      </c>
      <c r="AH761" s="1">
        <f t="shared" si="238"/>
        <v>0</v>
      </c>
      <c r="AI761" s="5">
        <f t="shared" si="239"/>
        <v>1</v>
      </c>
      <c r="AJ761" s="5">
        <f t="shared" si="240"/>
        <v>0.89950711938663741</v>
      </c>
      <c r="AK761" s="5">
        <f t="shared" si="241"/>
        <v>12.593099671412924</v>
      </c>
      <c r="AL761" s="5">
        <f t="shared" si="242"/>
        <v>31.482749178532309</v>
      </c>
      <c r="AM761" s="5">
        <f t="shared" si="243"/>
        <v>0</v>
      </c>
      <c r="AN761" s="5">
        <f t="shared" si="244"/>
        <v>31.482749178532309</v>
      </c>
      <c r="AO761" s="1" t="s">
        <v>102</v>
      </c>
    </row>
    <row r="762" spans="1:41" x14ac:dyDescent="0.25">
      <c r="A762" s="1" t="s">
        <v>19</v>
      </c>
      <c r="B762" s="1" t="s">
        <v>37</v>
      </c>
      <c r="C762" s="1" t="s">
        <v>21</v>
      </c>
      <c r="D762" s="1" t="s">
        <v>39</v>
      </c>
      <c r="E762" s="1" t="s">
        <v>96</v>
      </c>
      <c r="F762" s="1" t="s">
        <v>103</v>
      </c>
      <c r="G762" s="1" t="s">
        <v>114</v>
      </c>
      <c r="H762" s="1" t="s">
        <v>254</v>
      </c>
      <c r="I762" s="1" t="s">
        <v>255</v>
      </c>
      <c r="J762" s="1" t="s">
        <v>101</v>
      </c>
      <c r="K762" s="1" t="s">
        <v>175</v>
      </c>
      <c r="L762" s="1">
        <v>2576013</v>
      </c>
      <c r="M762" s="1" t="s">
        <v>935</v>
      </c>
      <c r="N762" s="8">
        <f t="shared" si="249"/>
        <v>43500</v>
      </c>
      <c r="O762" s="8">
        <f>DATE(2021,2,3)</f>
        <v>44230</v>
      </c>
      <c r="P762" s="1">
        <v>1411</v>
      </c>
      <c r="Q762" s="1">
        <v>1200</v>
      </c>
      <c r="R762" s="1">
        <f t="shared" si="227"/>
        <v>1200</v>
      </c>
      <c r="S762" s="1">
        <v>2.5</v>
      </c>
      <c r="U762" s="1">
        <f t="shared" si="228"/>
        <v>731</v>
      </c>
      <c r="V762" s="7">
        <f t="shared" si="229"/>
        <v>1.6415868673050615</v>
      </c>
      <c r="W762" s="7">
        <f t="shared" si="230"/>
        <v>599.17920656634749</v>
      </c>
      <c r="X762" s="7">
        <f t="shared" si="231"/>
        <v>0.74897400820793436</v>
      </c>
      <c r="AA762" s="8">
        <f t="shared" si="232"/>
        <v>44927</v>
      </c>
      <c r="AB762" s="8">
        <f t="shared" si="233"/>
        <v>45291</v>
      </c>
      <c r="AC762" s="1">
        <v>6</v>
      </c>
      <c r="AD762" s="1">
        <f t="shared" si="234"/>
        <v>0</v>
      </c>
      <c r="AE762" s="1">
        <f t="shared" si="235"/>
        <v>0</v>
      </c>
      <c r="AF762" s="1">
        <f t="shared" si="236"/>
        <v>0</v>
      </c>
      <c r="AG762" s="1">
        <f t="shared" si="237"/>
        <v>0</v>
      </c>
      <c r="AH762" s="1">
        <f t="shared" si="238"/>
        <v>182.5</v>
      </c>
      <c r="AI762" s="5">
        <f t="shared" si="239"/>
        <v>0.5</v>
      </c>
      <c r="AJ762" s="5">
        <f t="shared" si="240"/>
        <v>0.37448700410396718</v>
      </c>
      <c r="AK762" s="5">
        <f t="shared" si="241"/>
        <v>1.1234610123119015</v>
      </c>
      <c r="AL762" s="5">
        <f t="shared" si="242"/>
        <v>2.8086525307797539</v>
      </c>
      <c r="AM762" s="5">
        <f t="shared" si="243"/>
        <v>0</v>
      </c>
      <c r="AN762" s="5">
        <f t="shared" si="244"/>
        <v>2.8086525307797539</v>
      </c>
      <c r="AO762" s="1" t="s">
        <v>102</v>
      </c>
    </row>
    <row r="763" spans="1:41" x14ac:dyDescent="0.25">
      <c r="A763" s="1" t="s">
        <v>19</v>
      </c>
      <c r="B763" s="1" t="s">
        <v>37</v>
      </c>
      <c r="C763" s="1" t="s">
        <v>21</v>
      </c>
      <c r="D763" s="1" t="s">
        <v>39</v>
      </c>
      <c r="E763" s="1" t="s">
        <v>96</v>
      </c>
      <c r="F763" s="1" t="s">
        <v>103</v>
      </c>
      <c r="G763" s="1" t="s">
        <v>114</v>
      </c>
      <c r="H763" s="1" t="s">
        <v>892</v>
      </c>
      <c r="I763" s="1" t="s">
        <v>194</v>
      </c>
      <c r="J763" s="1" t="s">
        <v>101</v>
      </c>
      <c r="K763" s="1" t="s">
        <v>175</v>
      </c>
      <c r="L763" s="1">
        <v>2576014</v>
      </c>
      <c r="M763" s="1" t="s">
        <v>936</v>
      </c>
      <c r="N763" s="8">
        <f t="shared" si="249"/>
        <v>43500</v>
      </c>
      <c r="O763" s="8">
        <f>DATE(2021,2,3)</f>
        <v>44230</v>
      </c>
      <c r="P763" s="1">
        <v>1343</v>
      </c>
      <c r="Q763" s="1">
        <v>1200</v>
      </c>
      <c r="R763" s="1">
        <f t="shared" ref="R763:R826" si="250">IF(OR(G763="QUALIFICACAO PROFISSIONAL (FIC)",G763="DOUTORADO"),P763,
    IF(ISNUMBER(FIND("PROEJA",K763)),2400,
        IF(K763="INTEGRADO",
            IF(Q763=800,3000,
                IF(Q763=1000,3100,
                    IF(Q763=1200,3200,Q763)
                )
            ),
            Q763
        )
    )
)</f>
        <v>1200</v>
      </c>
      <c r="S763" s="1">
        <v>2.5</v>
      </c>
      <c r="U763" s="1">
        <f t="shared" ref="U763:U826" si="251">O763-N763+1</f>
        <v>731</v>
      </c>
      <c r="V763" s="7">
        <f t="shared" ref="V763:V826" si="252">IF(R763&gt;P763,P763,R763)/U763</f>
        <v>1.6415868673050615</v>
      </c>
      <c r="W763" s="7">
        <f t="shared" ref="W763:W826" si="253">IF(U763&gt;365,V763*365,R763)</f>
        <v>599.17920656634749</v>
      </c>
      <c r="X763" s="7">
        <f t="shared" ref="X763:X826" si="254">IF(U763&gt;365,W763/800,R763/800)</f>
        <v>0.74897400820793436</v>
      </c>
      <c r="AA763" s="8">
        <f t="shared" ref="AA763:AA826" si="255">DATE(2023,1,1)</f>
        <v>44927</v>
      </c>
      <c r="AB763" s="8">
        <f t="shared" ref="AB763:AB826" si="256">DATE(2023,12,31)</f>
        <v>45291</v>
      </c>
      <c r="AC763" s="1">
        <v>6</v>
      </c>
      <c r="AD763" s="1">
        <f t="shared" ref="AD763:AD826" si="257">IF(AND(N763&lt;AA763,O763&gt;AB763),AB763-AA763+1,0)</f>
        <v>0</v>
      </c>
      <c r="AE763" s="1">
        <f t="shared" ref="AE763:AE826" si="258">IF(AND(N763&gt;=AA763,O763&gt;AB763,N763&lt;AB763),AB763-N763+1,0)</f>
        <v>0</v>
      </c>
      <c r="AF763" s="1">
        <f t="shared" ref="AF763:AF826" si="259">IF(AND(N763&lt;AA763,O763&lt;=AB763,O763&gt;=AA763),O763-AA763+1,0)</f>
        <v>0</v>
      </c>
      <c r="AG763" s="1">
        <f t="shared" ref="AG763:AG826" si="260">IF(AND(N763&gt;=AA763,O763&lt;=AB763),O763-N763+1,0)</f>
        <v>0</v>
      </c>
      <c r="AH763" s="1">
        <f t="shared" ref="AH763:AH826" si="261">IF(AND(N763&lt;AA763,O763&lt;AA763),(AB763-AA763+1)/2,0)</f>
        <v>182.5</v>
      </c>
      <c r="AI763" s="5">
        <f t="shared" ref="AI763:AI826" si="262">SUM(AD763:AH763)/IF(U763&gt;=365,AB763-AA763+1,U763)</f>
        <v>0.5</v>
      </c>
      <c r="AJ763" s="5">
        <f t="shared" ref="AJ763:AJ826" si="263">X763*AI763</f>
        <v>0.37448700410396718</v>
      </c>
      <c r="AK763" s="5">
        <f t="shared" ref="AK763:AK826" si="264">IF(AH763=0,AJ763*AC763,IF(AA763-O763&gt;1095,0,AJ763*(AC763/2)))</f>
        <v>1.1234610123119015</v>
      </c>
      <c r="AL763" s="5">
        <f t="shared" ref="AL763:AL826" si="265">AK763*S763</f>
        <v>2.8086525307797539</v>
      </c>
      <c r="AM763" s="5">
        <f t="shared" ref="AM763:AM826" si="266">IF(J763="SIM",AL763*50%,0)</f>
        <v>0</v>
      </c>
      <c r="AN763" s="5">
        <f t="shared" ref="AN763:AN826" si="267">AL763+AM763</f>
        <v>2.8086525307797539</v>
      </c>
      <c r="AO763" s="1" t="s">
        <v>102</v>
      </c>
    </row>
    <row r="764" spans="1:41" x14ac:dyDescent="0.25">
      <c r="A764" s="1" t="s">
        <v>19</v>
      </c>
      <c r="B764" s="1" t="s">
        <v>37</v>
      </c>
      <c r="C764" s="1" t="s">
        <v>21</v>
      </c>
      <c r="D764" s="1" t="s">
        <v>39</v>
      </c>
      <c r="E764" s="1" t="s">
        <v>96</v>
      </c>
      <c r="F764" s="1" t="s">
        <v>103</v>
      </c>
      <c r="G764" s="1" t="s">
        <v>634</v>
      </c>
      <c r="H764" s="1" t="s">
        <v>937</v>
      </c>
      <c r="I764" s="1" t="s">
        <v>157</v>
      </c>
      <c r="J764" s="1" t="s">
        <v>101</v>
      </c>
      <c r="L764" s="1">
        <v>2589367</v>
      </c>
      <c r="M764" s="1" t="s">
        <v>938</v>
      </c>
      <c r="N764" s="8">
        <f>DATE(2019,3,18)</f>
        <v>43542</v>
      </c>
      <c r="O764" s="8">
        <f>DATE(2020,12,18)</f>
        <v>44183</v>
      </c>
      <c r="P764" s="1">
        <v>360</v>
      </c>
      <c r="Q764" s="1">
        <v>360</v>
      </c>
      <c r="R764" s="1">
        <f t="shared" si="250"/>
        <v>360</v>
      </c>
      <c r="S764" s="1">
        <v>3.75</v>
      </c>
      <c r="U764" s="1">
        <f t="shared" si="251"/>
        <v>642</v>
      </c>
      <c r="V764" s="7">
        <f t="shared" si="252"/>
        <v>0.56074766355140182</v>
      </c>
      <c r="W764" s="7">
        <f t="shared" si="253"/>
        <v>204.67289719626166</v>
      </c>
      <c r="X764" s="7">
        <f t="shared" si="254"/>
        <v>0.25584112149532706</v>
      </c>
      <c r="AA764" s="8">
        <f t="shared" si="255"/>
        <v>44927</v>
      </c>
      <c r="AB764" s="8">
        <f t="shared" si="256"/>
        <v>45291</v>
      </c>
      <c r="AC764" s="1">
        <v>1</v>
      </c>
      <c r="AD764" s="1">
        <f t="shared" si="257"/>
        <v>0</v>
      </c>
      <c r="AE764" s="1">
        <f t="shared" si="258"/>
        <v>0</v>
      </c>
      <c r="AF764" s="1">
        <f t="shared" si="259"/>
        <v>0</v>
      </c>
      <c r="AG764" s="1">
        <f t="shared" si="260"/>
        <v>0</v>
      </c>
      <c r="AH764" s="1">
        <f t="shared" si="261"/>
        <v>182.5</v>
      </c>
      <c r="AI764" s="5">
        <f t="shared" si="262"/>
        <v>0.5</v>
      </c>
      <c r="AJ764" s="5">
        <f t="shared" si="263"/>
        <v>0.12792056074766353</v>
      </c>
      <c r="AK764" s="5">
        <f t="shared" si="264"/>
        <v>6.3960280373831765E-2</v>
      </c>
      <c r="AL764" s="5">
        <f t="shared" si="265"/>
        <v>0.23985105140186913</v>
      </c>
      <c r="AM764" s="5">
        <f t="shared" si="266"/>
        <v>0</v>
      </c>
      <c r="AN764" s="5">
        <f t="shared" si="267"/>
        <v>0.23985105140186913</v>
      </c>
      <c r="AO764" s="1" t="s">
        <v>102</v>
      </c>
    </row>
    <row r="765" spans="1:41" x14ac:dyDescent="0.25">
      <c r="A765" s="1" t="s">
        <v>19</v>
      </c>
      <c r="B765" s="1" t="s">
        <v>37</v>
      </c>
      <c r="C765" s="1" t="s">
        <v>21</v>
      </c>
      <c r="D765" s="1" t="s">
        <v>39</v>
      </c>
      <c r="E765" s="1" t="s">
        <v>96</v>
      </c>
      <c r="F765" s="1" t="s">
        <v>103</v>
      </c>
      <c r="G765" s="1" t="s">
        <v>98</v>
      </c>
      <c r="H765" s="1" t="s">
        <v>878</v>
      </c>
      <c r="I765" s="1" t="s">
        <v>255</v>
      </c>
      <c r="J765" s="1" t="s">
        <v>101</v>
      </c>
      <c r="L765" s="1">
        <v>2618581</v>
      </c>
      <c r="M765" s="1" t="s">
        <v>939</v>
      </c>
      <c r="N765" s="8">
        <f t="shared" ref="N765:N770" si="268">DATE(2019,7,24)</f>
        <v>43670</v>
      </c>
      <c r="O765" s="8">
        <f>DATE(2023,6,30)</f>
        <v>45107</v>
      </c>
      <c r="P765" s="1">
        <v>4020</v>
      </c>
      <c r="Q765" s="1">
        <v>3600</v>
      </c>
      <c r="R765" s="1">
        <f t="shared" si="250"/>
        <v>3600</v>
      </c>
      <c r="S765" s="1">
        <v>2.5</v>
      </c>
      <c r="U765" s="1">
        <f t="shared" si="251"/>
        <v>1438</v>
      </c>
      <c r="V765" s="7">
        <f t="shared" si="252"/>
        <v>2.5034770514603615</v>
      </c>
      <c r="W765" s="7">
        <f t="shared" si="253"/>
        <v>913.76912378303189</v>
      </c>
      <c r="X765" s="7">
        <f t="shared" si="254"/>
        <v>1.1422114047287899</v>
      </c>
      <c r="AA765" s="8">
        <f t="shared" si="255"/>
        <v>44927</v>
      </c>
      <c r="AB765" s="8">
        <f t="shared" si="256"/>
        <v>45291</v>
      </c>
      <c r="AC765" s="1">
        <v>6</v>
      </c>
      <c r="AD765" s="1">
        <f t="shared" si="257"/>
        <v>0</v>
      </c>
      <c r="AE765" s="1">
        <f t="shared" si="258"/>
        <v>0</v>
      </c>
      <c r="AF765" s="1">
        <f t="shared" si="259"/>
        <v>181</v>
      </c>
      <c r="AG765" s="1">
        <f t="shared" si="260"/>
        <v>0</v>
      </c>
      <c r="AH765" s="1">
        <f t="shared" si="261"/>
        <v>0</v>
      </c>
      <c r="AI765" s="5">
        <f t="shared" si="262"/>
        <v>0.49589041095890413</v>
      </c>
      <c r="AJ765" s="5">
        <f t="shared" si="263"/>
        <v>0.56641168289290678</v>
      </c>
      <c r="AK765" s="5">
        <f t="shared" si="264"/>
        <v>3.3984700973574409</v>
      </c>
      <c r="AL765" s="5">
        <f t="shared" si="265"/>
        <v>8.4961752433936013</v>
      </c>
      <c r="AM765" s="5">
        <f t="shared" si="266"/>
        <v>0</v>
      </c>
      <c r="AN765" s="5">
        <f t="shared" si="267"/>
        <v>8.4961752433936013</v>
      </c>
      <c r="AO765" s="1" t="s">
        <v>102</v>
      </c>
    </row>
    <row r="766" spans="1:41" x14ac:dyDescent="0.25">
      <c r="A766" s="1" t="s">
        <v>19</v>
      </c>
      <c r="B766" s="1" t="s">
        <v>37</v>
      </c>
      <c r="C766" s="1" t="s">
        <v>21</v>
      </c>
      <c r="D766" s="1" t="s">
        <v>39</v>
      </c>
      <c r="E766" s="1" t="s">
        <v>96</v>
      </c>
      <c r="F766" s="1" t="s">
        <v>103</v>
      </c>
      <c r="G766" s="1" t="s">
        <v>114</v>
      </c>
      <c r="H766" s="1" t="s">
        <v>894</v>
      </c>
      <c r="I766" s="1" t="s">
        <v>157</v>
      </c>
      <c r="J766" s="1" t="s">
        <v>101</v>
      </c>
      <c r="K766" s="1" t="s">
        <v>116</v>
      </c>
      <c r="L766" s="1">
        <v>2618683</v>
      </c>
      <c r="M766" s="1" t="s">
        <v>940</v>
      </c>
      <c r="N766" s="8">
        <f t="shared" si="268"/>
        <v>43670</v>
      </c>
      <c r="O766" s="8">
        <f>DATE(2023,6,30)</f>
        <v>45107</v>
      </c>
      <c r="P766" s="1">
        <v>3689</v>
      </c>
      <c r="Q766" s="1">
        <v>1200</v>
      </c>
      <c r="R766" s="1">
        <f t="shared" si="250"/>
        <v>3200</v>
      </c>
      <c r="S766" s="1">
        <v>1.5</v>
      </c>
      <c r="U766" s="1">
        <f t="shared" si="251"/>
        <v>1438</v>
      </c>
      <c r="V766" s="7">
        <f t="shared" si="252"/>
        <v>2.2253129346314324</v>
      </c>
      <c r="W766" s="7">
        <f t="shared" si="253"/>
        <v>812.23922114047286</v>
      </c>
      <c r="X766" s="7">
        <f t="shared" si="254"/>
        <v>1.015299026425591</v>
      </c>
      <c r="AA766" s="8">
        <f t="shared" si="255"/>
        <v>44927</v>
      </c>
      <c r="AB766" s="8">
        <f t="shared" si="256"/>
        <v>45291</v>
      </c>
      <c r="AC766" s="1">
        <v>7</v>
      </c>
      <c r="AD766" s="1">
        <f t="shared" si="257"/>
        <v>0</v>
      </c>
      <c r="AE766" s="1">
        <f t="shared" si="258"/>
        <v>0</v>
      </c>
      <c r="AF766" s="1">
        <f t="shared" si="259"/>
        <v>181</v>
      </c>
      <c r="AG766" s="1">
        <f t="shared" si="260"/>
        <v>0</v>
      </c>
      <c r="AH766" s="1">
        <f t="shared" si="261"/>
        <v>0</v>
      </c>
      <c r="AI766" s="5">
        <f t="shared" si="262"/>
        <v>0.49589041095890413</v>
      </c>
      <c r="AJ766" s="5">
        <f t="shared" si="263"/>
        <v>0.50347705146036159</v>
      </c>
      <c r="AK766" s="5">
        <f t="shared" si="264"/>
        <v>3.5243393602225312</v>
      </c>
      <c r="AL766" s="5">
        <f t="shared" si="265"/>
        <v>5.2865090403337973</v>
      </c>
      <c r="AM766" s="5">
        <f t="shared" si="266"/>
        <v>0</v>
      </c>
      <c r="AN766" s="5">
        <f t="shared" si="267"/>
        <v>5.2865090403337973</v>
      </c>
      <c r="AO766" s="1" t="s">
        <v>102</v>
      </c>
    </row>
    <row r="767" spans="1:41" x14ac:dyDescent="0.25">
      <c r="A767" s="1" t="s">
        <v>19</v>
      </c>
      <c r="B767" s="1" t="s">
        <v>37</v>
      </c>
      <c r="C767" s="1" t="s">
        <v>21</v>
      </c>
      <c r="D767" s="1" t="s">
        <v>39</v>
      </c>
      <c r="E767" s="1" t="s">
        <v>96</v>
      </c>
      <c r="F767" s="1" t="s">
        <v>103</v>
      </c>
      <c r="G767" s="1" t="s">
        <v>114</v>
      </c>
      <c r="H767" s="1" t="s">
        <v>892</v>
      </c>
      <c r="I767" s="1" t="s">
        <v>194</v>
      </c>
      <c r="J767" s="1" t="s">
        <v>101</v>
      </c>
      <c r="K767" s="1" t="s">
        <v>116</v>
      </c>
      <c r="L767" s="1">
        <v>2618689</v>
      </c>
      <c r="M767" s="1" t="s">
        <v>941</v>
      </c>
      <c r="N767" s="8">
        <f t="shared" si="268"/>
        <v>43670</v>
      </c>
      <c r="O767" s="8">
        <f>DATE(2023,6,30)</f>
        <v>45107</v>
      </c>
      <c r="P767" s="1">
        <v>3689</v>
      </c>
      <c r="Q767" s="1">
        <v>1200</v>
      </c>
      <c r="R767" s="1">
        <f t="shared" si="250"/>
        <v>3200</v>
      </c>
      <c r="S767" s="1">
        <v>2.5</v>
      </c>
      <c r="U767" s="1">
        <f t="shared" si="251"/>
        <v>1438</v>
      </c>
      <c r="V767" s="7">
        <f t="shared" si="252"/>
        <v>2.2253129346314324</v>
      </c>
      <c r="W767" s="7">
        <f t="shared" si="253"/>
        <v>812.23922114047286</v>
      </c>
      <c r="X767" s="7">
        <f t="shared" si="254"/>
        <v>1.015299026425591</v>
      </c>
      <c r="AA767" s="8">
        <f t="shared" si="255"/>
        <v>44927</v>
      </c>
      <c r="AB767" s="8">
        <f t="shared" si="256"/>
        <v>45291</v>
      </c>
      <c r="AC767" s="1">
        <v>6</v>
      </c>
      <c r="AD767" s="1">
        <f t="shared" si="257"/>
        <v>0</v>
      </c>
      <c r="AE767" s="1">
        <f t="shared" si="258"/>
        <v>0</v>
      </c>
      <c r="AF767" s="1">
        <f t="shared" si="259"/>
        <v>181</v>
      </c>
      <c r="AG767" s="1">
        <f t="shared" si="260"/>
        <v>0</v>
      </c>
      <c r="AH767" s="1">
        <f t="shared" si="261"/>
        <v>0</v>
      </c>
      <c r="AI767" s="5">
        <f t="shared" si="262"/>
        <v>0.49589041095890413</v>
      </c>
      <c r="AJ767" s="5">
        <f t="shared" si="263"/>
        <v>0.50347705146036159</v>
      </c>
      <c r="AK767" s="5">
        <f t="shared" si="264"/>
        <v>3.0208623087621698</v>
      </c>
      <c r="AL767" s="5">
        <f t="shared" si="265"/>
        <v>7.552155771905424</v>
      </c>
      <c r="AM767" s="5">
        <f t="shared" si="266"/>
        <v>0</v>
      </c>
      <c r="AN767" s="5">
        <f t="shared" si="267"/>
        <v>7.552155771905424</v>
      </c>
      <c r="AO767" s="1" t="s">
        <v>102</v>
      </c>
    </row>
    <row r="768" spans="1:41" x14ac:dyDescent="0.25">
      <c r="A768" s="1" t="s">
        <v>19</v>
      </c>
      <c r="B768" s="1" t="s">
        <v>37</v>
      </c>
      <c r="C768" s="1" t="s">
        <v>21</v>
      </c>
      <c r="D768" s="1" t="s">
        <v>39</v>
      </c>
      <c r="E768" s="1" t="s">
        <v>96</v>
      </c>
      <c r="F768" s="1" t="s">
        <v>103</v>
      </c>
      <c r="G768" s="1" t="s">
        <v>114</v>
      </c>
      <c r="H768" s="1" t="s">
        <v>254</v>
      </c>
      <c r="I768" s="1" t="s">
        <v>255</v>
      </c>
      <c r="J768" s="1" t="s">
        <v>101</v>
      </c>
      <c r="K768" s="1" t="s">
        <v>175</v>
      </c>
      <c r="L768" s="1">
        <v>2621665</v>
      </c>
      <c r="M768" s="1" t="s">
        <v>942</v>
      </c>
      <c r="N768" s="8">
        <f t="shared" si="268"/>
        <v>43670</v>
      </c>
      <c r="O768" s="8">
        <f>DATE(2021,6,25)</f>
        <v>44372</v>
      </c>
      <c r="P768" s="1">
        <v>1367</v>
      </c>
      <c r="Q768" s="1">
        <v>1200</v>
      </c>
      <c r="R768" s="1">
        <f t="shared" si="250"/>
        <v>1200</v>
      </c>
      <c r="S768" s="1">
        <v>2.5</v>
      </c>
      <c r="U768" s="1">
        <f t="shared" si="251"/>
        <v>703</v>
      </c>
      <c r="V768" s="7">
        <f t="shared" si="252"/>
        <v>1.7069701280227596</v>
      </c>
      <c r="W768" s="7">
        <f t="shared" si="253"/>
        <v>623.0440967283073</v>
      </c>
      <c r="X768" s="7">
        <f t="shared" si="254"/>
        <v>0.77880512091038412</v>
      </c>
      <c r="AA768" s="8">
        <f t="shared" si="255"/>
        <v>44927</v>
      </c>
      <c r="AB768" s="8">
        <f t="shared" si="256"/>
        <v>45291</v>
      </c>
      <c r="AC768" s="1">
        <v>12</v>
      </c>
      <c r="AD768" s="1">
        <f t="shared" si="257"/>
        <v>0</v>
      </c>
      <c r="AE768" s="1">
        <f t="shared" si="258"/>
        <v>0</v>
      </c>
      <c r="AF768" s="1">
        <f t="shared" si="259"/>
        <v>0</v>
      </c>
      <c r="AG768" s="1">
        <f t="shared" si="260"/>
        <v>0</v>
      </c>
      <c r="AH768" s="1">
        <f t="shared" si="261"/>
        <v>182.5</v>
      </c>
      <c r="AI768" s="5">
        <f t="shared" si="262"/>
        <v>0.5</v>
      </c>
      <c r="AJ768" s="5">
        <f t="shared" si="263"/>
        <v>0.38940256045519206</v>
      </c>
      <c r="AK768" s="5">
        <f t="shared" si="264"/>
        <v>2.3364153627311524</v>
      </c>
      <c r="AL768" s="5">
        <f t="shared" si="265"/>
        <v>5.8410384068278809</v>
      </c>
      <c r="AM768" s="5">
        <f t="shared" si="266"/>
        <v>0</v>
      </c>
      <c r="AN768" s="5">
        <f t="shared" si="267"/>
        <v>5.8410384068278809</v>
      </c>
      <c r="AO768" s="1" t="s">
        <v>102</v>
      </c>
    </row>
    <row r="769" spans="1:41" x14ac:dyDescent="0.25">
      <c r="A769" s="1" t="s">
        <v>19</v>
      </c>
      <c r="B769" s="1" t="s">
        <v>37</v>
      </c>
      <c r="C769" s="1" t="s">
        <v>21</v>
      </c>
      <c r="D769" s="1" t="s">
        <v>39</v>
      </c>
      <c r="E769" s="1" t="s">
        <v>96</v>
      </c>
      <c r="F769" s="1" t="s">
        <v>103</v>
      </c>
      <c r="G769" s="1" t="s">
        <v>114</v>
      </c>
      <c r="H769" s="1" t="s">
        <v>892</v>
      </c>
      <c r="I769" s="1" t="s">
        <v>194</v>
      </c>
      <c r="J769" s="1" t="s">
        <v>101</v>
      </c>
      <c r="K769" s="1" t="s">
        <v>175</v>
      </c>
      <c r="L769" s="1">
        <v>2621667</v>
      </c>
      <c r="M769" s="1" t="s">
        <v>943</v>
      </c>
      <c r="N769" s="8">
        <f t="shared" si="268"/>
        <v>43670</v>
      </c>
      <c r="O769" s="8">
        <f>DATE(2021,6,25)</f>
        <v>44372</v>
      </c>
      <c r="P769" s="1">
        <v>1343</v>
      </c>
      <c r="Q769" s="1">
        <v>1200</v>
      </c>
      <c r="R769" s="1">
        <f t="shared" si="250"/>
        <v>1200</v>
      </c>
      <c r="S769" s="1">
        <v>2.5</v>
      </c>
      <c r="U769" s="1">
        <f t="shared" si="251"/>
        <v>703</v>
      </c>
      <c r="V769" s="7">
        <f t="shared" si="252"/>
        <v>1.7069701280227596</v>
      </c>
      <c r="W769" s="7">
        <f t="shared" si="253"/>
        <v>623.0440967283073</v>
      </c>
      <c r="X769" s="7">
        <f t="shared" si="254"/>
        <v>0.77880512091038412</v>
      </c>
      <c r="AA769" s="8">
        <f t="shared" si="255"/>
        <v>44927</v>
      </c>
      <c r="AB769" s="8">
        <f t="shared" si="256"/>
        <v>45291</v>
      </c>
      <c r="AC769" s="1">
        <v>3</v>
      </c>
      <c r="AD769" s="1">
        <f t="shared" si="257"/>
        <v>0</v>
      </c>
      <c r="AE769" s="1">
        <f t="shared" si="258"/>
        <v>0</v>
      </c>
      <c r="AF769" s="1">
        <f t="shared" si="259"/>
        <v>0</v>
      </c>
      <c r="AG769" s="1">
        <f t="shared" si="260"/>
        <v>0</v>
      </c>
      <c r="AH769" s="1">
        <f t="shared" si="261"/>
        <v>182.5</v>
      </c>
      <c r="AI769" s="5">
        <f t="shared" si="262"/>
        <v>0.5</v>
      </c>
      <c r="AJ769" s="5">
        <f t="shared" si="263"/>
        <v>0.38940256045519206</v>
      </c>
      <c r="AK769" s="5">
        <f t="shared" si="264"/>
        <v>0.58410384068278809</v>
      </c>
      <c r="AL769" s="5">
        <f t="shared" si="265"/>
        <v>1.4602596017069702</v>
      </c>
      <c r="AM769" s="5">
        <f t="shared" si="266"/>
        <v>0</v>
      </c>
      <c r="AN769" s="5">
        <f t="shared" si="267"/>
        <v>1.4602596017069702</v>
      </c>
      <c r="AO769" s="1" t="s">
        <v>102</v>
      </c>
    </row>
    <row r="770" spans="1:41" x14ac:dyDescent="0.25">
      <c r="A770" s="1" t="s">
        <v>19</v>
      </c>
      <c r="B770" s="1" t="s">
        <v>37</v>
      </c>
      <c r="C770" s="1" t="s">
        <v>21</v>
      </c>
      <c r="D770" s="1" t="s">
        <v>39</v>
      </c>
      <c r="E770" s="1" t="s">
        <v>96</v>
      </c>
      <c r="F770" s="1" t="s">
        <v>103</v>
      </c>
      <c r="G770" s="1" t="s">
        <v>127</v>
      </c>
      <c r="H770" s="1" t="s">
        <v>872</v>
      </c>
      <c r="I770" s="1" t="s">
        <v>157</v>
      </c>
      <c r="J770" s="1" t="s">
        <v>101</v>
      </c>
      <c r="L770" s="1">
        <v>2629032</v>
      </c>
      <c r="M770" s="1" t="s">
        <v>944</v>
      </c>
      <c r="N770" s="8">
        <f t="shared" si="268"/>
        <v>43670</v>
      </c>
      <c r="O770" s="8">
        <f>DATE(2022,7,29)</f>
        <v>44771</v>
      </c>
      <c r="P770" s="1">
        <v>2160</v>
      </c>
      <c r="Q770" s="1">
        <v>1600</v>
      </c>
      <c r="R770" s="1">
        <f t="shared" si="250"/>
        <v>1600</v>
      </c>
      <c r="S770" s="1">
        <v>1</v>
      </c>
      <c r="U770" s="1">
        <f t="shared" si="251"/>
        <v>1102</v>
      </c>
      <c r="V770" s="7">
        <f t="shared" si="252"/>
        <v>1.4519056261343013</v>
      </c>
      <c r="W770" s="7">
        <f t="shared" si="253"/>
        <v>529.94555353902001</v>
      </c>
      <c r="X770" s="7">
        <f t="shared" si="254"/>
        <v>0.66243194192377497</v>
      </c>
      <c r="AA770" s="8">
        <f t="shared" si="255"/>
        <v>44927</v>
      </c>
      <c r="AB770" s="8">
        <f t="shared" si="256"/>
        <v>45291</v>
      </c>
      <c r="AC770" s="1">
        <v>10</v>
      </c>
      <c r="AD770" s="1">
        <f t="shared" si="257"/>
        <v>0</v>
      </c>
      <c r="AE770" s="1">
        <f t="shared" si="258"/>
        <v>0</v>
      </c>
      <c r="AF770" s="1">
        <f t="shared" si="259"/>
        <v>0</v>
      </c>
      <c r="AG770" s="1">
        <f t="shared" si="260"/>
        <v>0</v>
      </c>
      <c r="AH770" s="1">
        <f t="shared" si="261"/>
        <v>182.5</v>
      </c>
      <c r="AI770" s="5">
        <f t="shared" si="262"/>
        <v>0.5</v>
      </c>
      <c r="AJ770" s="5">
        <f t="shared" si="263"/>
        <v>0.33121597096188748</v>
      </c>
      <c r="AK770" s="5">
        <f t="shared" si="264"/>
        <v>1.6560798548094375</v>
      </c>
      <c r="AL770" s="5">
        <f t="shared" si="265"/>
        <v>1.6560798548094375</v>
      </c>
      <c r="AM770" s="5">
        <f t="shared" si="266"/>
        <v>0</v>
      </c>
      <c r="AN770" s="5">
        <f t="shared" si="267"/>
        <v>1.6560798548094375</v>
      </c>
      <c r="AO770" s="1" t="s">
        <v>102</v>
      </c>
    </row>
    <row r="771" spans="1:41" x14ac:dyDescent="0.25">
      <c r="A771" s="1" t="s">
        <v>19</v>
      </c>
      <c r="B771" s="1" t="s">
        <v>37</v>
      </c>
      <c r="C771" s="1" t="s">
        <v>21</v>
      </c>
      <c r="D771" s="1" t="s">
        <v>39</v>
      </c>
      <c r="E771" s="1" t="s">
        <v>96</v>
      </c>
      <c r="F771" s="1" t="s">
        <v>103</v>
      </c>
      <c r="G771" s="1" t="s">
        <v>114</v>
      </c>
      <c r="H771" s="1" t="s">
        <v>254</v>
      </c>
      <c r="I771" s="1" t="s">
        <v>255</v>
      </c>
      <c r="J771" s="1" t="s">
        <v>101</v>
      </c>
      <c r="K771" s="1" t="s">
        <v>175</v>
      </c>
      <c r="L771" s="1">
        <v>2675449</v>
      </c>
      <c r="M771" s="1" t="s">
        <v>945</v>
      </c>
      <c r="N771" s="8">
        <f t="shared" ref="N771:N776" si="269">DATE(2020,2,3)</f>
        <v>43864</v>
      </c>
      <c r="O771" s="8">
        <f>DATE(2021,12,17)</f>
        <v>44547</v>
      </c>
      <c r="P771" s="1">
        <v>1367</v>
      </c>
      <c r="Q771" s="1">
        <v>1200</v>
      </c>
      <c r="R771" s="1">
        <f t="shared" si="250"/>
        <v>1200</v>
      </c>
      <c r="S771" s="1">
        <v>2.5</v>
      </c>
      <c r="U771" s="1">
        <f t="shared" si="251"/>
        <v>684</v>
      </c>
      <c r="V771" s="7">
        <f t="shared" si="252"/>
        <v>1.7543859649122806</v>
      </c>
      <c r="W771" s="7">
        <f t="shared" si="253"/>
        <v>640.35087719298247</v>
      </c>
      <c r="X771" s="7">
        <f t="shared" si="254"/>
        <v>0.80043859649122806</v>
      </c>
      <c r="AA771" s="8">
        <f t="shared" si="255"/>
        <v>44927</v>
      </c>
      <c r="AB771" s="8">
        <f t="shared" si="256"/>
        <v>45291</v>
      </c>
      <c r="AC771" s="1">
        <v>10</v>
      </c>
      <c r="AD771" s="1">
        <f t="shared" si="257"/>
        <v>0</v>
      </c>
      <c r="AE771" s="1">
        <f t="shared" si="258"/>
        <v>0</v>
      </c>
      <c r="AF771" s="1">
        <f t="shared" si="259"/>
        <v>0</v>
      </c>
      <c r="AG771" s="1">
        <f t="shared" si="260"/>
        <v>0</v>
      </c>
      <c r="AH771" s="1">
        <f t="shared" si="261"/>
        <v>182.5</v>
      </c>
      <c r="AI771" s="5">
        <f t="shared" si="262"/>
        <v>0.5</v>
      </c>
      <c r="AJ771" s="5">
        <f t="shared" si="263"/>
        <v>0.40021929824561403</v>
      </c>
      <c r="AK771" s="5">
        <f t="shared" si="264"/>
        <v>2.0010964912280702</v>
      </c>
      <c r="AL771" s="5">
        <f t="shared" si="265"/>
        <v>5.0027412280701755</v>
      </c>
      <c r="AM771" s="5">
        <f t="shared" si="266"/>
        <v>0</v>
      </c>
      <c r="AN771" s="5">
        <f t="shared" si="267"/>
        <v>5.0027412280701755</v>
      </c>
      <c r="AO771" s="1" t="s">
        <v>102</v>
      </c>
    </row>
    <row r="772" spans="1:41" x14ac:dyDescent="0.25">
      <c r="A772" s="1" t="s">
        <v>19</v>
      </c>
      <c r="B772" s="1" t="s">
        <v>37</v>
      </c>
      <c r="C772" s="1" t="s">
        <v>21</v>
      </c>
      <c r="D772" s="1" t="s">
        <v>39</v>
      </c>
      <c r="E772" s="1" t="s">
        <v>96</v>
      </c>
      <c r="F772" s="1" t="s">
        <v>103</v>
      </c>
      <c r="G772" s="1" t="s">
        <v>114</v>
      </c>
      <c r="H772" s="1" t="s">
        <v>892</v>
      </c>
      <c r="I772" s="1" t="s">
        <v>194</v>
      </c>
      <c r="J772" s="1" t="s">
        <v>101</v>
      </c>
      <c r="K772" s="1" t="s">
        <v>175</v>
      </c>
      <c r="L772" s="1">
        <v>2675452</v>
      </c>
      <c r="M772" s="1" t="s">
        <v>946</v>
      </c>
      <c r="N772" s="8">
        <f t="shared" si="269"/>
        <v>43864</v>
      </c>
      <c r="O772" s="8">
        <f>DATE(2021,12,17)</f>
        <v>44547</v>
      </c>
      <c r="P772" s="1">
        <v>1343</v>
      </c>
      <c r="Q772" s="1">
        <v>1200</v>
      </c>
      <c r="R772" s="1">
        <f t="shared" si="250"/>
        <v>1200</v>
      </c>
      <c r="S772" s="1">
        <v>2.5</v>
      </c>
      <c r="U772" s="1">
        <f t="shared" si="251"/>
        <v>684</v>
      </c>
      <c r="V772" s="7">
        <f t="shared" si="252"/>
        <v>1.7543859649122806</v>
      </c>
      <c r="W772" s="7">
        <f t="shared" si="253"/>
        <v>640.35087719298247</v>
      </c>
      <c r="X772" s="7">
        <f t="shared" si="254"/>
        <v>0.80043859649122806</v>
      </c>
      <c r="AA772" s="8">
        <f t="shared" si="255"/>
        <v>44927</v>
      </c>
      <c r="AB772" s="8">
        <f t="shared" si="256"/>
        <v>45291</v>
      </c>
      <c r="AC772" s="1">
        <v>5</v>
      </c>
      <c r="AD772" s="1">
        <f t="shared" si="257"/>
        <v>0</v>
      </c>
      <c r="AE772" s="1">
        <f t="shared" si="258"/>
        <v>0</v>
      </c>
      <c r="AF772" s="1">
        <f t="shared" si="259"/>
        <v>0</v>
      </c>
      <c r="AG772" s="1">
        <f t="shared" si="260"/>
        <v>0</v>
      </c>
      <c r="AH772" s="1">
        <f t="shared" si="261"/>
        <v>182.5</v>
      </c>
      <c r="AI772" s="5">
        <f t="shared" si="262"/>
        <v>0.5</v>
      </c>
      <c r="AJ772" s="5">
        <f t="shared" si="263"/>
        <v>0.40021929824561403</v>
      </c>
      <c r="AK772" s="5">
        <f t="shared" si="264"/>
        <v>1.0005482456140351</v>
      </c>
      <c r="AL772" s="5">
        <f t="shared" si="265"/>
        <v>2.5013706140350878</v>
      </c>
      <c r="AM772" s="5">
        <f t="shared" si="266"/>
        <v>0</v>
      </c>
      <c r="AN772" s="5">
        <f t="shared" si="267"/>
        <v>2.5013706140350878</v>
      </c>
      <c r="AO772" s="1" t="s">
        <v>102</v>
      </c>
    </row>
    <row r="773" spans="1:41" x14ac:dyDescent="0.25">
      <c r="A773" s="1" t="s">
        <v>19</v>
      </c>
      <c r="B773" s="1" t="s">
        <v>37</v>
      </c>
      <c r="C773" s="1" t="s">
        <v>21</v>
      </c>
      <c r="D773" s="1" t="s">
        <v>39</v>
      </c>
      <c r="E773" s="1" t="s">
        <v>96</v>
      </c>
      <c r="F773" s="1" t="s">
        <v>103</v>
      </c>
      <c r="G773" s="1" t="s">
        <v>114</v>
      </c>
      <c r="H773" s="1" t="s">
        <v>894</v>
      </c>
      <c r="I773" s="1" t="s">
        <v>157</v>
      </c>
      <c r="J773" s="1" t="s">
        <v>101</v>
      </c>
      <c r="K773" s="1" t="s">
        <v>116</v>
      </c>
      <c r="L773" s="1">
        <v>2675455</v>
      </c>
      <c r="M773" s="1" t="s">
        <v>947</v>
      </c>
      <c r="N773" s="8">
        <f t="shared" si="269"/>
        <v>43864</v>
      </c>
      <c r="O773" s="8">
        <f>DATE(2022,12,23)</f>
        <v>44918</v>
      </c>
      <c r="P773" s="1">
        <v>3689</v>
      </c>
      <c r="Q773" s="1">
        <v>1200</v>
      </c>
      <c r="R773" s="1">
        <f t="shared" si="250"/>
        <v>3200</v>
      </c>
      <c r="S773" s="1">
        <v>1.5</v>
      </c>
      <c r="U773" s="1">
        <f t="shared" si="251"/>
        <v>1055</v>
      </c>
      <c r="V773" s="7">
        <f t="shared" si="252"/>
        <v>3.0331753554502368</v>
      </c>
      <c r="W773" s="7">
        <f t="shared" si="253"/>
        <v>1107.1090047393363</v>
      </c>
      <c r="X773" s="7">
        <f t="shared" si="254"/>
        <v>1.3838862559241705</v>
      </c>
      <c r="AA773" s="8">
        <f t="shared" si="255"/>
        <v>44927</v>
      </c>
      <c r="AB773" s="8">
        <f t="shared" si="256"/>
        <v>45291</v>
      </c>
      <c r="AC773" s="1">
        <v>31</v>
      </c>
      <c r="AD773" s="1">
        <f t="shared" si="257"/>
        <v>0</v>
      </c>
      <c r="AE773" s="1">
        <f t="shared" si="258"/>
        <v>0</v>
      </c>
      <c r="AF773" s="1">
        <f t="shared" si="259"/>
        <v>0</v>
      </c>
      <c r="AG773" s="1">
        <f t="shared" si="260"/>
        <v>0</v>
      </c>
      <c r="AH773" s="1">
        <f t="shared" si="261"/>
        <v>182.5</v>
      </c>
      <c r="AI773" s="5">
        <f t="shared" si="262"/>
        <v>0.5</v>
      </c>
      <c r="AJ773" s="5">
        <f t="shared" si="263"/>
        <v>0.69194312796208524</v>
      </c>
      <c r="AK773" s="5">
        <f t="shared" si="264"/>
        <v>10.725118483412322</v>
      </c>
      <c r="AL773" s="5">
        <f t="shared" si="265"/>
        <v>16.087677725118482</v>
      </c>
      <c r="AM773" s="5">
        <f t="shared" si="266"/>
        <v>0</v>
      </c>
      <c r="AN773" s="5">
        <f t="shared" si="267"/>
        <v>16.087677725118482</v>
      </c>
      <c r="AO773" s="1" t="s">
        <v>102</v>
      </c>
    </row>
    <row r="774" spans="1:41" x14ac:dyDescent="0.25">
      <c r="A774" s="1" t="s">
        <v>19</v>
      </c>
      <c r="B774" s="1" t="s">
        <v>37</v>
      </c>
      <c r="C774" s="1" t="s">
        <v>21</v>
      </c>
      <c r="D774" s="1" t="s">
        <v>39</v>
      </c>
      <c r="E774" s="1" t="s">
        <v>96</v>
      </c>
      <c r="F774" s="1" t="s">
        <v>103</v>
      </c>
      <c r="G774" s="1" t="s">
        <v>114</v>
      </c>
      <c r="H774" s="1" t="s">
        <v>892</v>
      </c>
      <c r="I774" s="1" t="s">
        <v>194</v>
      </c>
      <c r="J774" s="1" t="s">
        <v>101</v>
      </c>
      <c r="K774" s="1" t="s">
        <v>116</v>
      </c>
      <c r="L774" s="1">
        <v>2675457</v>
      </c>
      <c r="M774" s="1" t="s">
        <v>948</v>
      </c>
      <c r="N774" s="8">
        <f t="shared" si="269"/>
        <v>43864</v>
      </c>
      <c r="O774" s="8">
        <f>DATE(2022,12,23)</f>
        <v>44918</v>
      </c>
      <c r="P774" s="1">
        <v>3689</v>
      </c>
      <c r="Q774" s="1">
        <v>1200</v>
      </c>
      <c r="R774" s="1">
        <f t="shared" si="250"/>
        <v>3200</v>
      </c>
      <c r="S774" s="1">
        <v>2.5</v>
      </c>
      <c r="U774" s="1">
        <f t="shared" si="251"/>
        <v>1055</v>
      </c>
      <c r="V774" s="7">
        <f t="shared" si="252"/>
        <v>3.0331753554502368</v>
      </c>
      <c r="W774" s="7">
        <f t="shared" si="253"/>
        <v>1107.1090047393363</v>
      </c>
      <c r="X774" s="7">
        <f t="shared" si="254"/>
        <v>1.3838862559241705</v>
      </c>
      <c r="AA774" s="8">
        <f t="shared" si="255"/>
        <v>44927</v>
      </c>
      <c r="AB774" s="8">
        <f t="shared" si="256"/>
        <v>45291</v>
      </c>
      <c r="AC774" s="1">
        <v>33</v>
      </c>
      <c r="AD774" s="1">
        <f t="shared" si="257"/>
        <v>0</v>
      </c>
      <c r="AE774" s="1">
        <f t="shared" si="258"/>
        <v>0</v>
      </c>
      <c r="AF774" s="1">
        <f t="shared" si="259"/>
        <v>0</v>
      </c>
      <c r="AG774" s="1">
        <f t="shared" si="260"/>
        <v>0</v>
      </c>
      <c r="AH774" s="1">
        <f t="shared" si="261"/>
        <v>182.5</v>
      </c>
      <c r="AI774" s="5">
        <f t="shared" si="262"/>
        <v>0.5</v>
      </c>
      <c r="AJ774" s="5">
        <f t="shared" si="263"/>
        <v>0.69194312796208524</v>
      </c>
      <c r="AK774" s="5">
        <f t="shared" si="264"/>
        <v>11.417061611374406</v>
      </c>
      <c r="AL774" s="5">
        <f t="shared" si="265"/>
        <v>28.542654028436015</v>
      </c>
      <c r="AM774" s="5">
        <f t="shared" si="266"/>
        <v>0</v>
      </c>
      <c r="AN774" s="5">
        <f t="shared" si="267"/>
        <v>28.542654028436015</v>
      </c>
      <c r="AO774" s="1" t="s">
        <v>102</v>
      </c>
    </row>
    <row r="775" spans="1:41" x14ac:dyDescent="0.25">
      <c r="A775" s="1" t="s">
        <v>19</v>
      </c>
      <c r="B775" s="1" t="s">
        <v>37</v>
      </c>
      <c r="C775" s="1" t="s">
        <v>21</v>
      </c>
      <c r="D775" s="1" t="s">
        <v>39</v>
      </c>
      <c r="E775" s="1" t="s">
        <v>96</v>
      </c>
      <c r="F775" s="1" t="s">
        <v>103</v>
      </c>
      <c r="G775" s="1" t="s">
        <v>127</v>
      </c>
      <c r="H775" s="1" t="s">
        <v>872</v>
      </c>
      <c r="I775" s="1" t="s">
        <v>157</v>
      </c>
      <c r="J775" s="1" t="s">
        <v>101</v>
      </c>
      <c r="L775" s="1">
        <v>2675459</v>
      </c>
      <c r="M775" s="1" t="s">
        <v>949</v>
      </c>
      <c r="N775" s="8">
        <f t="shared" si="269"/>
        <v>43864</v>
      </c>
      <c r="O775" s="8">
        <f>DATE(2023,2,24)</f>
        <v>44981</v>
      </c>
      <c r="P775" s="1">
        <v>2160</v>
      </c>
      <c r="Q775" s="1">
        <v>1600</v>
      </c>
      <c r="R775" s="1">
        <f t="shared" si="250"/>
        <v>1600</v>
      </c>
      <c r="S775" s="1">
        <v>1</v>
      </c>
      <c r="U775" s="1">
        <f t="shared" si="251"/>
        <v>1118</v>
      </c>
      <c r="V775" s="7">
        <f t="shared" si="252"/>
        <v>1.4311270125223614</v>
      </c>
      <c r="W775" s="7">
        <f t="shared" si="253"/>
        <v>522.36135957066188</v>
      </c>
      <c r="X775" s="7">
        <f t="shared" si="254"/>
        <v>0.65295169946332732</v>
      </c>
      <c r="AA775" s="8">
        <f t="shared" si="255"/>
        <v>44927</v>
      </c>
      <c r="AB775" s="8">
        <f t="shared" si="256"/>
        <v>45291</v>
      </c>
      <c r="AC775" s="1">
        <v>11</v>
      </c>
      <c r="AD775" s="1">
        <f t="shared" si="257"/>
        <v>0</v>
      </c>
      <c r="AE775" s="1">
        <f t="shared" si="258"/>
        <v>0</v>
      </c>
      <c r="AF775" s="1">
        <f t="shared" si="259"/>
        <v>55</v>
      </c>
      <c r="AG775" s="1">
        <f t="shared" si="260"/>
        <v>0</v>
      </c>
      <c r="AH775" s="1">
        <f t="shared" si="261"/>
        <v>0</v>
      </c>
      <c r="AI775" s="5">
        <f t="shared" si="262"/>
        <v>0.15068493150684931</v>
      </c>
      <c r="AJ775" s="5">
        <f t="shared" si="263"/>
        <v>9.8389982110912336E-2</v>
      </c>
      <c r="AK775" s="5">
        <f t="shared" si="264"/>
        <v>1.0822898032200357</v>
      </c>
      <c r="AL775" s="5">
        <f t="shared" si="265"/>
        <v>1.0822898032200357</v>
      </c>
      <c r="AM775" s="5">
        <f t="shared" si="266"/>
        <v>0</v>
      </c>
      <c r="AN775" s="5">
        <f t="shared" si="267"/>
        <v>1.0822898032200357</v>
      </c>
      <c r="AO775" s="1" t="s">
        <v>102</v>
      </c>
    </row>
    <row r="776" spans="1:41" x14ac:dyDescent="0.25">
      <c r="A776" s="1" t="s">
        <v>19</v>
      </c>
      <c r="B776" s="1" t="s">
        <v>37</v>
      </c>
      <c r="C776" s="1" t="s">
        <v>21</v>
      </c>
      <c r="D776" s="1" t="s">
        <v>39</v>
      </c>
      <c r="E776" s="1" t="s">
        <v>96</v>
      </c>
      <c r="F776" s="1" t="s">
        <v>103</v>
      </c>
      <c r="G776" s="1" t="s">
        <v>98</v>
      </c>
      <c r="H776" s="1" t="s">
        <v>878</v>
      </c>
      <c r="I776" s="1" t="s">
        <v>255</v>
      </c>
      <c r="J776" s="1" t="s">
        <v>101</v>
      </c>
      <c r="L776" s="1">
        <v>2675460</v>
      </c>
      <c r="M776" s="1" t="s">
        <v>950</v>
      </c>
      <c r="N776" s="8">
        <f t="shared" si="269"/>
        <v>43864</v>
      </c>
      <c r="O776" s="8">
        <f>DATE(2024,12,13)</f>
        <v>45639</v>
      </c>
      <c r="P776" s="1">
        <v>4020</v>
      </c>
      <c r="Q776" s="1">
        <v>3600</v>
      </c>
      <c r="R776" s="1">
        <f t="shared" si="250"/>
        <v>3600</v>
      </c>
      <c r="S776" s="1">
        <v>2.5</v>
      </c>
      <c r="U776" s="1">
        <f t="shared" si="251"/>
        <v>1776</v>
      </c>
      <c r="V776" s="7">
        <f t="shared" si="252"/>
        <v>2.0270270270270272</v>
      </c>
      <c r="W776" s="7">
        <f t="shared" si="253"/>
        <v>739.8648648648649</v>
      </c>
      <c r="X776" s="7">
        <f t="shared" si="254"/>
        <v>0.92483108108108114</v>
      </c>
      <c r="AA776" s="8">
        <f t="shared" si="255"/>
        <v>44927</v>
      </c>
      <c r="AB776" s="8">
        <f t="shared" si="256"/>
        <v>45291</v>
      </c>
      <c r="AC776" s="1">
        <v>9</v>
      </c>
      <c r="AD776" s="1">
        <f t="shared" si="257"/>
        <v>365</v>
      </c>
      <c r="AE776" s="1">
        <f t="shared" si="258"/>
        <v>0</v>
      </c>
      <c r="AF776" s="1">
        <f t="shared" si="259"/>
        <v>0</v>
      </c>
      <c r="AG776" s="1">
        <f t="shared" si="260"/>
        <v>0</v>
      </c>
      <c r="AH776" s="1">
        <f t="shared" si="261"/>
        <v>0</v>
      </c>
      <c r="AI776" s="5">
        <f t="shared" si="262"/>
        <v>1</v>
      </c>
      <c r="AJ776" s="5">
        <f t="shared" si="263"/>
        <v>0.92483108108108114</v>
      </c>
      <c r="AK776" s="5">
        <f t="shared" si="264"/>
        <v>8.3234797297297298</v>
      </c>
      <c r="AL776" s="5">
        <f t="shared" si="265"/>
        <v>20.808699324324323</v>
      </c>
      <c r="AM776" s="5">
        <f t="shared" si="266"/>
        <v>0</v>
      </c>
      <c r="AN776" s="5">
        <f t="shared" si="267"/>
        <v>20.808699324324323</v>
      </c>
      <c r="AO776" s="1" t="s">
        <v>102</v>
      </c>
    </row>
    <row r="777" spans="1:41" x14ac:dyDescent="0.25">
      <c r="A777" s="1" t="s">
        <v>19</v>
      </c>
      <c r="B777" s="1" t="s">
        <v>37</v>
      </c>
      <c r="C777" s="1" t="s">
        <v>21</v>
      </c>
      <c r="D777" s="1" t="s">
        <v>39</v>
      </c>
      <c r="E777" s="1" t="s">
        <v>96</v>
      </c>
      <c r="F777" s="1" t="s">
        <v>103</v>
      </c>
      <c r="G777" s="1" t="s">
        <v>702</v>
      </c>
      <c r="H777" s="1" t="s">
        <v>951</v>
      </c>
      <c r="I777" s="1" t="s">
        <v>210</v>
      </c>
      <c r="J777" s="1" t="s">
        <v>101</v>
      </c>
      <c r="L777" s="1">
        <v>2782917</v>
      </c>
      <c r="M777" s="1" t="s">
        <v>952</v>
      </c>
      <c r="N777" s="8">
        <f>DATE(2020,3,12)</f>
        <v>43902</v>
      </c>
      <c r="O777" s="8">
        <f>DATE(2022,3,31)</f>
        <v>44651</v>
      </c>
      <c r="P777" s="1">
        <v>360</v>
      </c>
      <c r="Q777" s="1">
        <v>360</v>
      </c>
      <c r="R777" s="1">
        <f t="shared" si="250"/>
        <v>360</v>
      </c>
      <c r="S777" s="1">
        <v>3.75</v>
      </c>
      <c r="U777" s="1">
        <f t="shared" si="251"/>
        <v>750</v>
      </c>
      <c r="V777" s="7">
        <f t="shared" si="252"/>
        <v>0.48</v>
      </c>
      <c r="W777" s="7">
        <f t="shared" si="253"/>
        <v>175.2</v>
      </c>
      <c r="X777" s="7">
        <f t="shared" si="254"/>
        <v>0.21899999999999997</v>
      </c>
      <c r="AA777" s="8">
        <f t="shared" si="255"/>
        <v>44927</v>
      </c>
      <c r="AB777" s="8">
        <f t="shared" si="256"/>
        <v>45291</v>
      </c>
      <c r="AC777" s="1">
        <v>0</v>
      </c>
      <c r="AD777" s="1">
        <f t="shared" si="257"/>
        <v>0</v>
      </c>
      <c r="AE777" s="1">
        <f t="shared" si="258"/>
        <v>0</v>
      </c>
      <c r="AF777" s="1">
        <f t="shared" si="259"/>
        <v>0</v>
      </c>
      <c r="AG777" s="1">
        <f t="shared" si="260"/>
        <v>0</v>
      </c>
      <c r="AH777" s="1">
        <f t="shared" si="261"/>
        <v>182.5</v>
      </c>
      <c r="AI777" s="5">
        <f t="shared" si="262"/>
        <v>0.5</v>
      </c>
      <c r="AJ777" s="5">
        <f t="shared" si="263"/>
        <v>0.10949999999999999</v>
      </c>
      <c r="AK777" s="5">
        <f t="shared" si="264"/>
        <v>0</v>
      </c>
      <c r="AL777" s="5">
        <f t="shared" si="265"/>
        <v>0</v>
      </c>
      <c r="AM777" s="5">
        <f t="shared" si="266"/>
        <v>0</v>
      </c>
      <c r="AN777" s="5">
        <f t="shared" si="267"/>
        <v>0</v>
      </c>
      <c r="AO777" s="1" t="s">
        <v>102</v>
      </c>
    </row>
    <row r="778" spans="1:41" x14ac:dyDescent="0.25">
      <c r="A778" s="1" t="s">
        <v>19</v>
      </c>
      <c r="B778" s="1" t="s">
        <v>37</v>
      </c>
      <c r="C778" s="1" t="s">
        <v>21</v>
      </c>
      <c r="D778" s="1" t="s">
        <v>39</v>
      </c>
      <c r="E778" s="1" t="s">
        <v>96</v>
      </c>
      <c r="F778" s="1" t="s">
        <v>103</v>
      </c>
      <c r="G778" s="1" t="s">
        <v>634</v>
      </c>
      <c r="H778" s="1" t="s">
        <v>937</v>
      </c>
      <c r="I778" s="1" t="s">
        <v>157</v>
      </c>
      <c r="J778" s="1" t="s">
        <v>101</v>
      </c>
      <c r="L778" s="1">
        <v>2868239</v>
      </c>
      <c r="M778" s="1" t="s">
        <v>953</v>
      </c>
      <c r="N778" s="8">
        <f>DATE(2020,3,16)</f>
        <v>43906</v>
      </c>
      <c r="O778" s="8">
        <f>DATE(2021,12,17)</f>
        <v>44547</v>
      </c>
      <c r="P778" s="1">
        <v>360</v>
      </c>
      <c r="Q778" s="1">
        <v>360</v>
      </c>
      <c r="R778" s="1">
        <f t="shared" si="250"/>
        <v>360</v>
      </c>
      <c r="S778" s="1">
        <v>3.75</v>
      </c>
      <c r="U778" s="1">
        <f t="shared" si="251"/>
        <v>642</v>
      </c>
      <c r="V778" s="7">
        <f t="shared" si="252"/>
        <v>0.56074766355140182</v>
      </c>
      <c r="W778" s="7">
        <f t="shared" si="253"/>
        <v>204.67289719626166</v>
      </c>
      <c r="X778" s="7">
        <f t="shared" si="254"/>
        <v>0.25584112149532706</v>
      </c>
      <c r="AA778" s="8">
        <f t="shared" si="255"/>
        <v>44927</v>
      </c>
      <c r="AB778" s="8">
        <f t="shared" si="256"/>
        <v>45291</v>
      </c>
      <c r="AC778" s="1">
        <v>7</v>
      </c>
      <c r="AD778" s="1">
        <f t="shared" si="257"/>
        <v>0</v>
      </c>
      <c r="AE778" s="1">
        <f t="shared" si="258"/>
        <v>0</v>
      </c>
      <c r="AF778" s="1">
        <f t="shared" si="259"/>
        <v>0</v>
      </c>
      <c r="AG778" s="1">
        <f t="shared" si="260"/>
        <v>0</v>
      </c>
      <c r="AH778" s="1">
        <f t="shared" si="261"/>
        <v>182.5</v>
      </c>
      <c r="AI778" s="5">
        <f t="shared" si="262"/>
        <v>0.5</v>
      </c>
      <c r="AJ778" s="5">
        <f t="shared" si="263"/>
        <v>0.12792056074766353</v>
      </c>
      <c r="AK778" s="5">
        <f t="shared" si="264"/>
        <v>0.44772196261682234</v>
      </c>
      <c r="AL778" s="5">
        <f t="shared" si="265"/>
        <v>1.6789573598130838</v>
      </c>
      <c r="AM778" s="5">
        <f t="shared" si="266"/>
        <v>0</v>
      </c>
      <c r="AN778" s="5">
        <f t="shared" si="267"/>
        <v>1.6789573598130838</v>
      </c>
      <c r="AO778" s="1" t="s">
        <v>102</v>
      </c>
    </row>
    <row r="779" spans="1:41" x14ac:dyDescent="0.25">
      <c r="A779" s="1" t="s">
        <v>19</v>
      </c>
      <c r="B779" s="1" t="s">
        <v>37</v>
      </c>
      <c r="C779" s="1" t="s">
        <v>21</v>
      </c>
      <c r="D779" s="1" t="s">
        <v>39</v>
      </c>
      <c r="E779" s="1" t="s">
        <v>96</v>
      </c>
      <c r="F779" s="1" t="s">
        <v>103</v>
      </c>
      <c r="G779" s="1" t="s">
        <v>634</v>
      </c>
      <c r="H779" s="1" t="s">
        <v>937</v>
      </c>
      <c r="I779" s="1" t="s">
        <v>157</v>
      </c>
      <c r="J779" s="1" t="s">
        <v>101</v>
      </c>
      <c r="L779" s="1">
        <v>2771756</v>
      </c>
      <c r="M779" s="1" t="s">
        <v>954</v>
      </c>
      <c r="N779" s="8">
        <f>DATE(2021,4,12)</f>
        <v>44298</v>
      </c>
      <c r="O779" s="8">
        <f>DATE(2022,12,16)</f>
        <v>44911</v>
      </c>
      <c r="P779" s="1">
        <v>470</v>
      </c>
      <c r="Q779" s="1">
        <v>360</v>
      </c>
      <c r="R779" s="1">
        <f t="shared" si="250"/>
        <v>360</v>
      </c>
      <c r="S779" s="1">
        <v>3.75</v>
      </c>
      <c r="U779" s="1">
        <f t="shared" si="251"/>
        <v>614</v>
      </c>
      <c r="V779" s="7">
        <f t="shared" si="252"/>
        <v>0.58631921824104238</v>
      </c>
      <c r="W779" s="7">
        <f t="shared" si="253"/>
        <v>214.00651465798046</v>
      </c>
      <c r="X779" s="7">
        <f t="shared" si="254"/>
        <v>0.26750814332247558</v>
      </c>
      <c r="AA779" s="8">
        <f t="shared" si="255"/>
        <v>44927</v>
      </c>
      <c r="AB779" s="8">
        <f t="shared" si="256"/>
        <v>45291</v>
      </c>
      <c r="AC779" s="1">
        <v>7</v>
      </c>
      <c r="AD779" s="1">
        <f t="shared" si="257"/>
        <v>0</v>
      </c>
      <c r="AE779" s="1">
        <f t="shared" si="258"/>
        <v>0</v>
      </c>
      <c r="AF779" s="1">
        <f t="shared" si="259"/>
        <v>0</v>
      </c>
      <c r="AG779" s="1">
        <f t="shared" si="260"/>
        <v>0</v>
      </c>
      <c r="AH779" s="1">
        <f t="shared" si="261"/>
        <v>182.5</v>
      </c>
      <c r="AI779" s="5">
        <f t="shared" si="262"/>
        <v>0.5</v>
      </c>
      <c r="AJ779" s="5">
        <f t="shared" si="263"/>
        <v>0.13375407166123779</v>
      </c>
      <c r="AK779" s="5">
        <f t="shared" si="264"/>
        <v>0.46813925081433228</v>
      </c>
      <c r="AL779" s="5">
        <f t="shared" si="265"/>
        <v>1.7555221905537461</v>
      </c>
      <c r="AM779" s="5">
        <f t="shared" si="266"/>
        <v>0</v>
      </c>
      <c r="AN779" s="5">
        <f t="shared" si="267"/>
        <v>1.7555221905537461</v>
      </c>
      <c r="AO779" s="1" t="s">
        <v>102</v>
      </c>
    </row>
    <row r="780" spans="1:41" x14ac:dyDescent="0.25">
      <c r="A780" s="1" t="s">
        <v>19</v>
      </c>
      <c r="B780" s="1" t="s">
        <v>37</v>
      </c>
      <c r="C780" s="1" t="s">
        <v>21</v>
      </c>
      <c r="D780" s="1" t="s">
        <v>39</v>
      </c>
      <c r="E780" s="1" t="s">
        <v>96</v>
      </c>
      <c r="F780" s="1" t="s">
        <v>103</v>
      </c>
      <c r="G780" s="1" t="s">
        <v>702</v>
      </c>
      <c r="H780" s="1" t="s">
        <v>951</v>
      </c>
      <c r="I780" s="1" t="s">
        <v>210</v>
      </c>
      <c r="J780" s="1" t="s">
        <v>101</v>
      </c>
      <c r="L780" s="1">
        <v>2782919</v>
      </c>
      <c r="M780" s="1" t="s">
        <v>955</v>
      </c>
      <c r="N780" s="8">
        <f>DATE(2021,4,12)</f>
        <v>44298</v>
      </c>
      <c r="O780" s="8">
        <f>DATE(2023,4,28)</f>
        <v>45044</v>
      </c>
      <c r="P780" s="1">
        <v>360</v>
      </c>
      <c r="Q780" s="1">
        <v>360</v>
      </c>
      <c r="R780" s="1">
        <f t="shared" si="250"/>
        <v>360</v>
      </c>
      <c r="S780" s="1">
        <v>3.75</v>
      </c>
      <c r="U780" s="1">
        <f t="shared" si="251"/>
        <v>747</v>
      </c>
      <c r="V780" s="7">
        <f t="shared" si="252"/>
        <v>0.48192771084337349</v>
      </c>
      <c r="W780" s="7">
        <f t="shared" si="253"/>
        <v>175.90361445783134</v>
      </c>
      <c r="X780" s="7">
        <f t="shared" si="254"/>
        <v>0.21987951807228917</v>
      </c>
      <c r="AA780" s="8">
        <f t="shared" si="255"/>
        <v>44927</v>
      </c>
      <c r="AB780" s="8">
        <f t="shared" si="256"/>
        <v>45291</v>
      </c>
      <c r="AC780" s="1">
        <v>7</v>
      </c>
      <c r="AD780" s="1">
        <f t="shared" si="257"/>
        <v>0</v>
      </c>
      <c r="AE780" s="1">
        <f t="shared" si="258"/>
        <v>0</v>
      </c>
      <c r="AF780" s="1">
        <f t="shared" si="259"/>
        <v>118</v>
      </c>
      <c r="AG780" s="1">
        <f t="shared" si="260"/>
        <v>0</v>
      </c>
      <c r="AH780" s="1">
        <f t="shared" si="261"/>
        <v>0</v>
      </c>
      <c r="AI780" s="5">
        <f t="shared" si="262"/>
        <v>0.32328767123287672</v>
      </c>
      <c r="AJ780" s="5">
        <f t="shared" si="263"/>
        <v>7.1084337349397592E-2</v>
      </c>
      <c r="AK780" s="5">
        <f t="shared" si="264"/>
        <v>0.49759036144578317</v>
      </c>
      <c r="AL780" s="5">
        <f t="shared" si="265"/>
        <v>1.8659638554216869</v>
      </c>
      <c r="AM780" s="5">
        <f t="shared" si="266"/>
        <v>0</v>
      </c>
      <c r="AN780" s="5">
        <f t="shared" si="267"/>
        <v>1.8659638554216869</v>
      </c>
      <c r="AO780" s="1" t="s">
        <v>102</v>
      </c>
    </row>
    <row r="781" spans="1:41" x14ac:dyDescent="0.25">
      <c r="A781" s="1" t="s">
        <v>19</v>
      </c>
      <c r="B781" s="1" t="s">
        <v>37</v>
      </c>
      <c r="C781" s="1" t="s">
        <v>21</v>
      </c>
      <c r="D781" s="1" t="s">
        <v>39</v>
      </c>
      <c r="E781" s="1" t="s">
        <v>96</v>
      </c>
      <c r="F781" s="1" t="s">
        <v>103</v>
      </c>
      <c r="G781" s="1" t="s">
        <v>114</v>
      </c>
      <c r="H781" s="1" t="s">
        <v>894</v>
      </c>
      <c r="I781" s="1" t="s">
        <v>157</v>
      </c>
      <c r="J781" s="1" t="s">
        <v>101</v>
      </c>
      <c r="K781" s="1" t="s">
        <v>116</v>
      </c>
      <c r="L781" s="1">
        <v>2770650</v>
      </c>
      <c r="M781" s="1" t="s">
        <v>956</v>
      </c>
      <c r="N781" s="8">
        <f t="shared" ref="N781:N786" si="270">DATE(2021,5,17)</f>
        <v>44333</v>
      </c>
      <c r="O781" s="8">
        <f>DATE(2023,12,15)</f>
        <v>45275</v>
      </c>
      <c r="P781" s="1">
        <v>3689</v>
      </c>
      <c r="Q781" s="1">
        <v>1200</v>
      </c>
      <c r="R781" s="1">
        <f t="shared" si="250"/>
        <v>3200</v>
      </c>
      <c r="S781" s="1">
        <v>1.5</v>
      </c>
      <c r="U781" s="1">
        <f t="shared" si="251"/>
        <v>943</v>
      </c>
      <c r="V781" s="7">
        <f t="shared" si="252"/>
        <v>3.3934252386002122</v>
      </c>
      <c r="W781" s="7">
        <f t="shared" si="253"/>
        <v>1238.6002120890773</v>
      </c>
      <c r="X781" s="7">
        <f t="shared" si="254"/>
        <v>1.5482502651113466</v>
      </c>
      <c r="AA781" s="8">
        <f t="shared" si="255"/>
        <v>44927</v>
      </c>
      <c r="AB781" s="8">
        <f t="shared" si="256"/>
        <v>45291</v>
      </c>
      <c r="AC781" s="1">
        <v>28</v>
      </c>
      <c r="AD781" s="1">
        <f t="shared" si="257"/>
        <v>0</v>
      </c>
      <c r="AE781" s="1">
        <f t="shared" si="258"/>
        <v>0</v>
      </c>
      <c r="AF781" s="1">
        <f t="shared" si="259"/>
        <v>349</v>
      </c>
      <c r="AG781" s="1">
        <f t="shared" si="260"/>
        <v>0</v>
      </c>
      <c r="AH781" s="1">
        <f t="shared" si="261"/>
        <v>0</v>
      </c>
      <c r="AI781" s="5">
        <f t="shared" si="262"/>
        <v>0.95616438356164379</v>
      </c>
      <c r="AJ781" s="5">
        <f t="shared" si="263"/>
        <v>1.4803817603393423</v>
      </c>
      <c r="AK781" s="5">
        <f t="shared" si="264"/>
        <v>41.450689289501582</v>
      </c>
      <c r="AL781" s="5">
        <f t="shared" si="265"/>
        <v>62.176033934252374</v>
      </c>
      <c r="AM781" s="5">
        <f t="shared" si="266"/>
        <v>0</v>
      </c>
      <c r="AN781" s="5">
        <f t="shared" si="267"/>
        <v>62.176033934252374</v>
      </c>
      <c r="AO781" s="1" t="s">
        <v>102</v>
      </c>
    </row>
    <row r="782" spans="1:41" x14ac:dyDescent="0.25">
      <c r="A782" s="1" t="s">
        <v>19</v>
      </c>
      <c r="B782" s="1" t="s">
        <v>37</v>
      </c>
      <c r="C782" s="1" t="s">
        <v>21</v>
      </c>
      <c r="D782" s="1" t="s">
        <v>39</v>
      </c>
      <c r="E782" s="1" t="s">
        <v>96</v>
      </c>
      <c r="F782" s="1" t="s">
        <v>103</v>
      </c>
      <c r="G782" s="1" t="s">
        <v>114</v>
      </c>
      <c r="H782" s="1" t="s">
        <v>892</v>
      </c>
      <c r="I782" s="1" t="s">
        <v>194</v>
      </c>
      <c r="J782" s="1" t="s">
        <v>101</v>
      </c>
      <c r="K782" s="1" t="s">
        <v>116</v>
      </c>
      <c r="L782" s="1">
        <v>2770651</v>
      </c>
      <c r="M782" s="1" t="s">
        <v>957</v>
      </c>
      <c r="N782" s="8">
        <f t="shared" si="270"/>
        <v>44333</v>
      </c>
      <c r="O782" s="8">
        <f>DATE(2023,12,15)</f>
        <v>45275</v>
      </c>
      <c r="P782" s="1">
        <v>3689</v>
      </c>
      <c r="Q782" s="1">
        <v>1200</v>
      </c>
      <c r="R782" s="1">
        <f t="shared" si="250"/>
        <v>3200</v>
      </c>
      <c r="S782" s="1">
        <v>2.5</v>
      </c>
      <c r="U782" s="1">
        <f t="shared" si="251"/>
        <v>943</v>
      </c>
      <c r="V782" s="7">
        <f t="shared" si="252"/>
        <v>3.3934252386002122</v>
      </c>
      <c r="W782" s="7">
        <f t="shared" si="253"/>
        <v>1238.6002120890773</v>
      </c>
      <c r="X782" s="7">
        <f t="shared" si="254"/>
        <v>1.5482502651113466</v>
      </c>
      <c r="AA782" s="8">
        <f t="shared" si="255"/>
        <v>44927</v>
      </c>
      <c r="AB782" s="8">
        <f t="shared" si="256"/>
        <v>45291</v>
      </c>
      <c r="AC782" s="1">
        <v>26</v>
      </c>
      <c r="AD782" s="1">
        <f t="shared" si="257"/>
        <v>0</v>
      </c>
      <c r="AE782" s="1">
        <f t="shared" si="258"/>
        <v>0</v>
      </c>
      <c r="AF782" s="1">
        <f t="shared" si="259"/>
        <v>349</v>
      </c>
      <c r="AG782" s="1">
        <f t="shared" si="260"/>
        <v>0</v>
      </c>
      <c r="AH782" s="1">
        <f t="shared" si="261"/>
        <v>0</v>
      </c>
      <c r="AI782" s="5">
        <f t="shared" si="262"/>
        <v>0.95616438356164379</v>
      </c>
      <c r="AJ782" s="5">
        <f t="shared" si="263"/>
        <v>1.4803817603393423</v>
      </c>
      <c r="AK782" s="5">
        <f t="shared" si="264"/>
        <v>38.4899257688229</v>
      </c>
      <c r="AL782" s="5">
        <f t="shared" si="265"/>
        <v>96.22481442205725</v>
      </c>
      <c r="AM782" s="5">
        <f t="shared" si="266"/>
        <v>0</v>
      </c>
      <c r="AN782" s="5">
        <f t="shared" si="267"/>
        <v>96.22481442205725</v>
      </c>
      <c r="AO782" s="1" t="s">
        <v>102</v>
      </c>
    </row>
    <row r="783" spans="1:41" x14ac:dyDescent="0.25">
      <c r="A783" s="1" t="s">
        <v>19</v>
      </c>
      <c r="B783" s="1" t="s">
        <v>37</v>
      </c>
      <c r="C783" s="1" t="s">
        <v>21</v>
      </c>
      <c r="D783" s="1" t="s">
        <v>39</v>
      </c>
      <c r="E783" s="1" t="s">
        <v>96</v>
      </c>
      <c r="F783" s="1" t="s">
        <v>103</v>
      </c>
      <c r="G783" s="1" t="s">
        <v>98</v>
      </c>
      <c r="H783" s="1" t="s">
        <v>878</v>
      </c>
      <c r="I783" s="1" t="s">
        <v>255</v>
      </c>
      <c r="J783" s="1" t="s">
        <v>101</v>
      </c>
      <c r="L783" s="1">
        <v>2771368</v>
      </c>
      <c r="M783" s="1" t="s">
        <v>958</v>
      </c>
      <c r="N783" s="8">
        <f t="shared" si="270"/>
        <v>44333</v>
      </c>
      <c r="O783" s="8">
        <f>DATE(2025,12,19)</f>
        <v>46010</v>
      </c>
      <c r="P783" s="1">
        <v>4020</v>
      </c>
      <c r="Q783" s="1">
        <v>3600</v>
      </c>
      <c r="R783" s="1">
        <f t="shared" si="250"/>
        <v>3600</v>
      </c>
      <c r="S783" s="1">
        <v>2.5</v>
      </c>
      <c r="U783" s="1">
        <f t="shared" si="251"/>
        <v>1678</v>
      </c>
      <c r="V783" s="7">
        <f t="shared" si="252"/>
        <v>2.1454112038140645</v>
      </c>
      <c r="W783" s="7">
        <f t="shared" si="253"/>
        <v>783.07508939213358</v>
      </c>
      <c r="X783" s="7">
        <f t="shared" si="254"/>
        <v>0.97884386174016702</v>
      </c>
      <c r="AA783" s="8">
        <f t="shared" si="255"/>
        <v>44927</v>
      </c>
      <c r="AB783" s="8">
        <f t="shared" si="256"/>
        <v>45291</v>
      </c>
      <c r="AC783" s="1">
        <v>12</v>
      </c>
      <c r="AD783" s="1">
        <f t="shared" si="257"/>
        <v>365</v>
      </c>
      <c r="AE783" s="1">
        <f t="shared" si="258"/>
        <v>0</v>
      </c>
      <c r="AF783" s="1">
        <f t="shared" si="259"/>
        <v>0</v>
      </c>
      <c r="AG783" s="1">
        <f t="shared" si="260"/>
        <v>0</v>
      </c>
      <c r="AH783" s="1">
        <f t="shared" si="261"/>
        <v>0</v>
      </c>
      <c r="AI783" s="5">
        <f t="shared" si="262"/>
        <v>1</v>
      </c>
      <c r="AJ783" s="5">
        <f t="shared" si="263"/>
        <v>0.97884386174016702</v>
      </c>
      <c r="AK783" s="5">
        <f t="shared" si="264"/>
        <v>11.746126340882004</v>
      </c>
      <c r="AL783" s="5">
        <f t="shared" si="265"/>
        <v>29.365315852205008</v>
      </c>
      <c r="AM783" s="5">
        <f t="shared" si="266"/>
        <v>0</v>
      </c>
      <c r="AN783" s="5">
        <f t="shared" si="267"/>
        <v>29.365315852205008</v>
      </c>
      <c r="AO783" s="1" t="s">
        <v>102</v>
      </c>
    </row>
    <row r="784" spans="1:41" x14ac:dyDescent="0.25">
      <c r="A784" s="1" t="s">
        <v>19</v>
      </c>
      <c r="B784" s="1" t="s">
        <v>37</v>
      </c>
      <c r="C784" s="1" t="s">
        <v>21</v>
      </c>
      <c r="D784" s="1" t="s">
        <v>39</v>
      </c>
      <c r="E784" s="1" t="s">
        <v>96</v>
      </c>
      <c r="F784" s="1" t="s">
        <v>103</v>
      </c>
      <c r="G784" s="1" t="s">
        <v>127</v>
      </c>
      <c r="H784" s="1" t="s">
        <v>872</v>
      </c>
      <c r="I784" s="1" t="s">
        <v>157</v>
      </c>
      <c r="J784" s="1" t="s">
        <v>101</v>
      </c>
      <c r="L784" s="1">
        <v>2771369</v>
      </c>
      <c r="M784" s="1" t="s">
        <v>959</v>
      </c>
      <c r="N784" s="8">
        <f t="shared" si="270"/>
        <v>44333</v>
      </c>
      <c r="O784" s="8">
        <f>DATE(2023,12,15)</f>
        <v>45275</v>
      </c>
      <c r="P784" s="1">
        <v>2160</v>
      </c>
      <c r="Q784" s="1">
        <v>1600</v>
      </c>
      <c r="R784" s="1">
        <f t="shared" si="250"/>
        <v>1600</v>
      </c>
      <c r="S784" s="1">
        <v>1</v>
      </c>
      <c r="U784" s="1">
        <f t="shared" si="251"/>
        <v>943</v>
      </c>
      <c r="V784" s="7">
        <f t="shared" si="252"/>
        <v>1.6967126193001061</v>
      </c>
      <c r="W784" s="7">
        <f t="shared" si="253"/>
        <v>619.30010604453867</v>
      </c>
      <c r="X784" s="7">
        <f t="shared" si="254"/>
        <v>0.77412513255567328</v>
      </c>
      <c r="AA784" s="8">
        <f t="shared" si="255"/>
        <v>44927</v>
      </c>
      <c r="AB784" s="8">
        <f t="shared" si="256"/>
        <v>45291</v>
      </c>
      <c r="AC784" s="1">
        <v>13</v>
      </c>
      <c r="AD784" s="1">
        <f t="shared" si="257"/>
        <v>0</v>
      </c>
      <c r="AE784" s="1">
        <f t="shared" si="258"/>
        <v>0</v>
      </c>
      <c r="AF784" s="1">
        <f t="shared" si="259"/>
        <v>349</v>
      </c>
      <c r="AG784" s="1">
        <f t="shared" si="260"/>
        <v>0</v>
      </c>
      <c r="AH784" s="1">
        <f t="shared" si="261"/>
        <v>0</v>
      </c>
      <c r="AI784" s="5">
        <f t="shared" si="262"/>
        <v>0.95616438356164379</v>
      </c>
      <c r="AJ784" s="5">
        <f t="shared" si="263"/>
        <v>0.74019088016967116</v>
      </c>
      <c r="AK784" s="5">
        <f t="shared" si="264"/>
        <v>9.622481442205725</v>
      </c>
      <c r="AL784" s="5">
        <f t="shared" si="265"/>
        <v>9.622481442205725</v>
      </c>
      <c r="AM784" s="5">
        <f t="shared" si="266"/>
        <v>0</v>
      </c>
      <c r="AN784" s="5">
        <f t="shared" si="267"/>
        <v>9.622481442205725</v>
      </c>
      <c r="AO784" s="1" t="s">
        <v>102</v>
      </c>
    </row>
    <row r="785" spans="1:41" x14ac:dyDescent="0.25">
      <c r="A785" s="1" t="s">
        <v>19</v>
      </c>
      <c r="B785" s="1" t="s">
        <v>37</v>
      </c>
      <c r="C785" s="1" t="s">
        <v>21</v>
      </c>
      <c r="D785" s="1" t="s">
        <v>39</v>
      </c>
      <c r="E785" s="1" t="s">
        <v>96</v>
      </c>
      <c r="F785" s="1" t="s">
        <v>103</v>
      </c>
      <c r="G785" s="1" t="s">
        <v>114</v>
      </c>
      <c r="H785" s="1" t="s">
        <v>254</v>
      </c>
      <c r="I785" s="1" t="s">
        <v>255</v>
      </c>
      <c r="J785" s="1" t="s">
        <v>101</v>
      </c>
      <c r="K785" s="1" t="s">
        <v>175</v>
      </c>
      <c r="L785" s="1">
        <v>2771742</v>
      </c>
      <c r="M785" s="1" t="s">
        <v>960</v>
      </c>
      <c r="N785" s="8">
        <f t="shared" si="270"/>
        <v>44333</v>
      </c>
      <c r="O785" s="8">
        <f>DATE(2023,5,17)</f>
        <v>45063</v>
      </c>
      <c r="P785" s="1">
        <v>1367</v>
      </c>
      <c r="Q785" s="1">
        <v>1200</v>
      </c>
      <c r="R785" s="1">
        <f t="shared" si="250"/>
        <v>1200</v>
      </c>
      <c r="S785" s="1">
        <v>2.5</v>
      </c>
      <c r="U785" s="1">
        <f t="shared" si="251"/>
        <v>731</v>
      </c>
      <c r="V785" s="7">
        <f t="shared" si="252"/>
        <v>1.6415868673050615</v>
      </c>
      <c r="W785" s="7">
        <f t="shared" si="253"/>
        <v>599.17920656634749</v>
      </c>
      <c r="X785" s="7">
        <f t="shared" si="254"/>
        <v>0.74897400820793436</v>
      </c>
      <c r="AA785" s="8">
        <f t="shared" si="255"/>
        <v>44927</v>
      </c>
      <c r="AB785" s="8">
        <f t="shared" si="256"/>
        <v>45291</v>
      </c>
      <c r="AC785" s="1">
        <v>15</v>
      </c>
      <c r="AD785" s="1">
        <f t="shared" si="257"/>
        <v>0</v>
      </c>
      <c r="AE785" s="1">
        <f t="shared" si="258"/>
        <v>0</v>
      </c>
      <c r="AF785" s="1">
        <f t="shared" si="259"/>
        <v>137</v>
      </c>
      <c r="AG785" s="1">
        <f t="shared" si="260"/>
        <v>0</v>
      </c>
      <c r="AH785" s="1">
        <f t="shared" si="261"/>
        <v>0</v>
      </c>
      <c r="AI785" s="5">
        <f t="shared" si="262"/>
        <v>0.37534246575342467</v>
      </c>
      <c r="AJ785" s="5">
        <f t="shared" si="263"/>
        <v>0.2811217510259918</v>
      </c>
      <c r="AK785" s="5">
        <f t="shared" si="264"/>
        <v>4.2168262653898765</v>
      </c>
      <c r="AL785" s="5">
        <f t="shared" si="265"/>
        <v>10.542065663474691</v>
      </c>
      <c r="AM785" s="5">
        <f t="shared" si="266"/>
        <v>0</v>
      </c>
      <c r="AN785" s="5">
        <f t="shared" si="267"/>
        <v>10.542065663474691</v>
      </c>
      <c r="AO785" s="1" t="s">
        <v>102</v>
      </c>
    </row>
    <row r="786" spans="1:41" x14ac:dyDescent="0.25">
      <c r="A786" s="1" t="s">
        <v>19</v>
      </c>
      <c r="B786" s="1" t="s">
        <v>37</v>
      </c>
      <c r="C786" s="1" t="s">
        <v>21</v>
      </c>
      <c r="D786" s="1" t="s">
        <v>39</v>
      </c>
      <c r="E786" s="1" t="s">
        <v>96</v>
      </c>
      <c r="F786" s="1" t="s">
        <v>103</v>
      </c>
      <c r="G786" s="1" t="s">
        <v>114</v>
      </c>
      <c r="H786" s="1" t="s">
        <v>892</v>
      </c>
      <c r="I786" s="1" t="s">
        <v>194</v>
      </c>
      <c r="J786" s="1" t="s">
        <v>101</v>
      </c>
      <c r="K786" s="1" t="s">
        <v>175</v>
      </c>
      <c r="L786" s="1">
        <v>2771747</v>
      </c>
      <c r="M786" s="1" t="s">
        <v>961</v>
      </c>
      <c r="N786" s="8">
        <f t="shared" si="270"/>
        <v>44333</v>
      </c>
      <c r="O786" s="8">
        <f>DATE(2023,5,17)</f>
        <v>45063</v>
      </c>
      <c r="P786" s="1">
        <v>1343</v>
      </c>
      <c r="Q786" s="1">
        <v>1200</v>
      </c>
      <c r="R786" s="1">
        <f t="shared" si="250"/>
        <v>1200</v>
      </c>
      <c r="S786" s="1">
        <v>2.5</v>
      </c>
      <c r="U786" s="1">
        <f t="shared" si="251"/>
        <v>731</v>
      </c>
      <c r="V786" s="7">
        <f t="shared" si="252"/>
        <v>1.6415868673050615</v>
      </c>
      <c r="W786" s="7">
        <f t="shared" si="253"/>
        <v>599.17920656634749</v>
      </c>
      <c r="X786" s="7">
        <f t="shared" si="254"/>
        <v>0.74897400820793436</v>
      </c>
      <c r="AA786" s="8">
        <f t="shared" si="255"/>
        <v>44927</v>
      </c>
      <c r="AB786" s="8">
        <f t="shared" si="256"/>
        <v>45291</v>
      </c>
      <c r="AC786" s="1">
        <v>9</v>
      </c>
      <c r="AD786" s="1">
        <f t="shared" si="257"/>
        <v>0</v>
      </c>
      <c r="AE786" s="1">
        <f t="shared" si="258"/>
        <v>0</v>
      </c>
      <c r="AF786" s="1">
        <f t="shared" si="259"/>
        <v>137</v>
      </c>
      <c r="AG786" s="1">
        <f t="shared" si="260"/>
        <v>0</v>
      </c>
      <c r="AH786" s="1">
        <f t="shared" si="261"/>
        <v>0</v>
      </c>
      <c r="AI786" s="5">
        <f t="shared" si="262"/>
        <v>0.37534246575342467</v>
      </c>
      <c r="AJ786" s="5">
        <f t="shared" si="263"/>
        <v>0.2811217510259918</v>
      </c>
      <c r="AK786" s="5">
        <f t="shared" si="264"/>
        <v>2.5300957592339262</v>
      </c>
      <c r="AL786" s="5">
        <f t="shared" si="265"/>
        <v>6.3252393980848156</v>
      </c>
      <c r="AM786" s="5">
        <f t="shared" si="266"/>
        <v>0</v>
      </c>
      <c r="AN786" s="5">
        <f t="shared" si="267"/>
        <v>6.3252393980848156</v>
      </c>
      <c r="AO786" s="1" t="s">
        <v>102</v>
      </c>
    </row>
    <row r="787" spans="1:41" x14ac:dyDescent="0.25">
      <c r="A787" s="1" t="s">
        <v>19</v>
      </c>
      <c r="B787" s="1" t="s">
        <v>37</v>
      </c>
      <c r="C787" s="1" t="s">
        <v>21</v>
      </c>
      <c r="D787" s="1" t="s">
        <v>39</v>
      </c>
      <c r="E787" s="1" t="s">
        <v>96</v>
      </c>
      <c r="F787" s="1" t="s">
        <v>103</v>
      </c>
      <c r="G787" s="1" t="s">
        <v>114</v>
      </c>
      <c r="H787" s="1" t="s">
        <v>254</v>
      </c>
      <c r="I787" s="1" t="s">
        <v>255</v>
      </c>
      <c r="J787" s="1" t="s">
        <v>101</v>
      </c>
      <c r="K787" s="1" t="s">
        <v>175</v>
      </c>
      <c r="L787" s="1">
        <v>2817975</v>
      </c>
      <c r="M787" s="1" t="s">
        <v>962</v>
      </c>
      <c r="N787" s="8">
        <f t="shared" ref="N787:N792" si="271">DATE(2021,10,25)</f>
        <v>44494</v>
      </c>
      <c r="O787" s="8">
        <f>DATE(2023,7,31)</f>
        <v>45138</v>
      </c>
      <c r="P787" s="1">
        <v>1367</v>
      </c>
      <c r="Q787" s="1">
        <v>1200</v>
      </c>
      <c r="R787" s="1">
        <f t="shared" si="250"/>
        <v>1200</v>
      </c>
      <c r="S787" s="1">
        <v>2.5</v>
      </c>
      <c r="U787" s="1">
        <f t="shared" si="251"/>
        <v>645</v>
      </c>
      <c r="V787" s="7">
        <f t="shared" si="252"/>
        <v>1.8604651162790697</v>
      </c>
      <c r="W787" s="7">
        <f t="shared" si="253"/>
        <v>679.06976744186045</v>
      </c>
      <c r="X787" s="7">
        <f t="shared" si="254"/>
        <v>0.84883720930232553</v>
      </c>
      <c r="AA787" s="8">
        <f t="shared" si="255"/>
        <v>44927</v>
      </c>
      <c r="AB787" s="8">
        <f t="shared" si="256"/>
        <v>45291</v>
      </c>
      <c r="AC787" s="1">
        <v>9</v>
      </c>
      <c r="AD787" s="1">
        <f t="shared" si="257"/>
        <v>0</v>
      </c>
      <c r="AE787" s="1">
        <f t="shared" si="258"/>
        <v>0</v>
      </c>
      <c r="AF787" s="1">
        <f t="shared" si="259"/>
        <v>212</v>
      </c>
      <c r="AG787" s="1">
        <f t="shared" si="260"/>
        <v>0</v>
      </c>
      <c r="AH787" s="1">
        <f t="shared" si="261"/>
        <v>0</v>
      </c>
      <c r="AI787" s="5">
        <f t="shared" si="262"/>
        <v>0.58082191780821912</v>
      </c>
      <c r="AJ787" s="5">
        <f t="shared" si="263"/>
        <v>0.4930232558139534</v>
      </c>
      <c r="AK787" s="5">
        <f t="shared" si="264"/>
        <v>4.4372093023255808</v>
      </c>
      <c r="AL787" s="5">
        <f t="shared" si="265"/>
        <v>11.093023255813952</v>
      </c>
      <c r="AM787" s="5">
        <f t="shared" si="266"/>
        <v>0</v>
      </c>
      <c r="AN787" s="5">
        <f t="shared" si="267"/>
        <v>11.093023255813952</v>
      </c>
      <c r="AO787" s="1" t="s">
        <v>102</v>
      </c>
    </row>
    <row r="788" spans="1:41" x14ac:dyDescent="0.25">
      <c r="A788" s="1" t="s">
        <v>19</v>
      </c>
      <c r="B788" s="1" t="s">
        <v>37</v>
      </c>
      <c r="C788" s="1" t="s">
        <v>21</v>
      </c>
      <c r="D788" s="1" t="s">
        <v>39</v>
      </c>
      <c r="E788" s="1" t="s">
        <v>96</v>
      </c>
      <c r="F788" s="1" t="s">
        <v>103</v>
      </c>
      <c r="G788" s="1" t="s">
        <v>114</v>
      </c>
      <c r="H788" s="1" t="s">
        <v>892</v>
      </c>
      <c r="I788" s="1" t="s">
        <v>194</v>
      </c>
      <c r="J788" s="1" t="s">
        <v>101</v>
      </c>
      <c r="K788" s="1" t="s">
        <v>175</v>
      </c>
      <c r="L788" s="1">
        <v>2817977</v>
      </c>
      <c r="M788" s="1" t="s">
        <v>963</v>
      </c>
      <c r="N788" s="8">
        <f t="shared" si="271"/>
        <v>44494</v>
      </c>
      <c r="O788" s="8">
        <f>DATE(2023,7,31)</f>
        <v>45138</v>
      </c>
      <c r="P788" s="1">
        <v>1343</v>
      </c>
      <c r="Q788" s="1">
        <v>1200</v>
      </c>
      <c r="R788" s="1">
        <f t="shared" si="250"/>
        <v>1200</v>
      </c>
      <c r="S788" s="1">
        <v>2.5</v>
      </c>
      <c r="U788" s="1">
        <f t="shared" si="251"/>
        <v>645</v>
      </c>
      <c r="V788" s="7">
        <f t="shared" si="252"/>
        <v>1.8604651162790697</v>
      </c>
      <c r="W788" s="7">
        <f t="shared" si="253"/>
        <v>679.06976744186045</v>
      </c>
      <c r="X788" s="7">
        <f t="shared" si="254"/>
        <v>0.84883720930232553</v>
      </c>
      <c r="AA788" s="8">
        <f t="shared" si="255"/>
        <v>44927</v>
      </c>
      <c r="AB788" s="8">
        <f t="shared" si="256"/>
        <v>45291</v>
      </c>
      <c r="AC788" s="1">
        <v>9</v>
      </c>
      <c r="AD788" s="1">
        <f t="shared" si="257"/>
        <v>0</v>
      </c>
      <c r="AE788" s="1">
        <f t="shared" si="258"/>
        <v>0</v>
      </c>
      <c r="AF788" s="1">
        <f t="shared" si="259"/>
        <v>212</v>
      </c>
      <c r="AG788" s="1">
        <f t="shared" si="260"/>
        <v>0</v>
      </c>
      <c r="AH788" s="1">
        <f t="shared" si="261"/>
        <v>0</v>
      </c>
      <c r="AI788" s="5">
        <f t="shared" si="262"/>
        <v>0.58082191780821912</v>
      </c>
      <c r="AJ788" s="5">
        <f t="shared" si="263"/>
        <v>0.4930232558139534</v>
      </c>
      <c r="AK788" s="5">
        <f t="shared" si="264"/>
        <v>4.4372093023255808</v>
      </c>
      <c r="AL788" s="5">
        <f t="shared" si="265"/>
        <v>11.093023255813952</v>
      </c>
      <c r="AM788" s="5">
        <f t="shared" si="266"/>
        <v>0</v>
      </c>
      <c r="AN788" s="5">
        <f t="shared" si="267"/>
        <v>11.093023255813952</v>
      </c>
      <c r="AO788" s="1" t="s">
        <v>102</v>
      </c>
    </row>
    <row r="789" spans="1:41" x14ac:dyDescent="0.25">
      <c r="A789" s="1" t="s">
        <v>19</v>
      </c>
      <c r="B789" s="1" t="s">
        <v>37</v>
      </c>
      <c r="C789" s="1" t="s">
        <v>21</v>
      </c>
      <c r="D789" s="1" t="s">
        <v>39</v>
      </c>
      <c r="E789" s="1" t="s">
        <v>96</v>
      </c>
      <c r="F789" s="1" t="s">
        <v>103</v>
      </c>
      <c r="G789" s="1" t="s">
        <v>114</v>
      </c>
      <c r="H789" s="1" t="s">
        <v>894</v>
      </c>
      <c r="I789" s="1" t="s">
        <v>157</v>
      </c>
      <c r="J789" s="1" t="s">
        <v>101</v>
      </c>
      <c r="K789" s="1" t="s">
        <v>116</v>
      </c>
      <c r="L789" s="1">
        <v>2817980</v>
      </c>
      <c r="M789" s="1" t="s">
        <v>964</v>
      </c>
      <c r="N789" s="8">
        <f t="shared" si="271"/>
        <v>44494</v>
      </c>
      <c r="O789" s="8">
        <f>DATE(2024,7,31)</f>
        <v>45504</v>
      </c>
      <c r="P789" s="1">
        <v>3689</v>
      </c>
      <c r="Q789" s="1">
        <v>1200</v>
      </c>
      <c r="R789" s="1">
        <f t="shared" si="250"/>
        <v>3200</v>
      </c>
      <c r="S789" s="1">
        <v>1.5</v>
      </c>
      <c r="U789" s="1">
        <f t="shared" si="251"/>
        <v>1011</v>
      </c>
      <c r="V789" s="7">
        <f t="shared" si="252"/>
        <v>3.1651829871414443</v>
      </c>
      <c r="W789" s="7">
        <f t="shared" si="253"/>
        <v>1155.2917903066273</v>
      </c>
      <c r="X789" s="7">
        <f t="shared" si="254"/>
        <v>1.4441147378832841</v>
      </c>
      <c r="AA789" s="8">
        <f t="shared" si="255"/>
        <v>44927</v>
      </c>
      <c r="AB789" s="8">
        <f t="shared" si="256"/>
        <v>45291</v>
      </c>
      <c r="AC789" s="1">
        <v>34</v>
      </c>
      <c r="AD789" s="1">
        <f t="shared" si="257"/>
        <v>365</v>
      </c>
      <c r="AE789" s="1">
        <f t="shared" si="258"/>
        <v>0</v>
      </c>
      <c r="AF789" s="1">
        <f t="shared" si="259"/>
        <v>0</v>
      </c>
      <c r="AG789" s="1">
        <f t="shared" si="260"/>
        <v>0</v>
      </c>
      <c r="AH789" s="1">
        <f t="shared" si="261"/>
        <v>0</v>
      </c>
      <c r="AI789" s="5">
        <f t="shared" si="262"/>
        <v>1</v>
      </c>
      <c r="AJ789" s="5">
        <f t="shared" si="263"/>
        <v>1.4441147378832841</v>
      </c>
      <c r="AK789" s="5">
        <f t="shared" si="264"/>
        <v>49.099901088031658</v>
      </c>
      <c r="AL789" s="5">
        <f t="shared" si="265"/>
        <v>73.649851632047486</v>
      </c>
      <c r="AM789" s="5">
        <f t="shared" si="266"/>
        <v>0</v>
      </c>
      <c r="AN789" s="5">
        <f t="shared" si="267"/>
        <v>73.649851632047486</v>
      </c>
      <c r="AO789" s="1" t="s">
        <v>102</v>
      </c>
    </row>
    <row r="790" spans="1:41" x14ac:dyDescent="0.25">
      <c r="A790" s="1" t="s">
        <v>19</v>
      </c>
      <c r="B790" s="1" t="s">
        <v>37</v>
      </c>
      <c r="C790" s="1" t="s">
        <v>21</v>
      </c>
      <c r="D790" s="1" t="s">
        <v>39</v>
      </c>
      <c r="E790" s="1" t="s">
        <v>96</v>
      </c>
      <c r="F790" s="1" t="s">
        <v>103</v>
      </c>
      <c r="G790" s="1" t="s">
        <v>114</v>
      </c>
      <c r="H790" s="1" t="s">
        <v>892</v>
      </c>
      <c r="I790" s="1" t="s">
        <v>194</v>
      </c>
      <c r="J790" s="1" t="s">
        <v>101</v>
      </c>
      <c r="K790" s="1" t="s">
        <v>116</v>
      </c>
      <c r="L790" s="1">
        <v>2817982</v>
      </c>
      <c r="M790" s="1" t="s">
        <v>965</v>
      </c>
      <c r="N790" s="8">
        <f t="shared" si="271"/>
        <v>44494</v>
      </c>
      <c r="O790" s="8">
        <f>DATE(2024,7,31)</f>
        <v>45504</v>
      </c>
      <c r="P790" s="1">
        <v>3689</v>
      </c>
      <c r="Q790" s="1">
        <v>1200</v>
      </c>
      <c r="R790" s="1">
        <f t="shared" si="250"/>
        <v>3200</v>
      </c>
      <c r="S790" s="1">
        <v>2.5</v>
      </c>
      <c r="U790" s="1">
        <f t="shared" si="251"/>
        <v>1011</v>
      </c>
      <c r="V790" s="7">
        <f t="shared" si="252"/>
        <v>3.1651829871414443</v>
      </c>
      <c r="W790" s="7">
        <f t="shared" si="253"/>
        <v>1155.2917903066273</v>
      </c>
      <c r="X790" s="7">
        <f t="shared" si="254"/>
        <v>1.4441147378832841</v>
      </c>
      <c r="AA790" s="8">
        <f t="shared" si="255"/>
        <v>44927</v>
      </c>
      <c r="AB790" s="8">
        <f t="shared" si="256"/>
        <v>45291</v>
      </c>
      <c r="AC790" s="1">
        <v>31</v>
      </c>
      <c r="AD790" s="1">
        <f t="shared" si="257"/>
        <v>365</v>
      </c>
      <c r="AE790" s="1">
        <f t="shared" si="258"/>
        <v>0</v>
      </c>
      <c r="AF790" s="1">
        <f t="shared" si="259"/>
        <v>0</v>
      </c>
      <c r="AG790" s="1">
        <f t="shared" si="260"/>
        <v>0</v>
      </c>
      <c r="AH790" s="1">
        <f t="shared" si="261"/>
        <v>0</v>
      </c>
      <c r="AI790" s="5">
        <f t="shared" si="262"/>
        <v>1</v>
      </c>
      <c r="AJ790" s="5">
        <f t="shared" si="263"/>
        <v>1.4441147378832841</v>
      </c>
      <c r="AK790" s="5">
        <f t="shared" si="264"/>
        <v>44.76755687438181</v>
      </c>
      <c r="AL790" s="5">
        <f t="shared" si="265"/>
        <v>111.91889218595452</v>
      </c>
      <c r="AM790" s="5">
        <f t="shared" si="266"/>
        <v>0</v>
      </c>
      <c r="AN790" s="5">
        <f t="shared" si="267"/>
        <v>111.91889218595452</v>
      </c>
      <c r="AO790" s="1" t="s">
        <v>102</v>
      </c>
    </row>
    <row r="791" spans="1:41" x14ac:dyDescent="0.25">
      <c r="A791" s="1" t="s">
        <v>19</v>
      </c>
      <c r="B791" s="1" t="s">
        <v>37</v>
      </c>
      <c r="C791" s="1" t="s">
        <v>21</v>
      </c>
      <c r="D791" s="1" t="s">
        <v>39</v>
      </c>
      <c r="E791" s="1" t="s">
        <v>96</v>
      </c>
      <c r="F791" s="1" t="s">
        <v>103</v>
      </c>
      <c r="G791" s="1" t="s">
        <v>127</v>
      </c>
      <c r="H791" s="1" t="s">
        <v>872</v>
      </c>
      <c r="I791" s="1" t="s">
        <v>157</v>
      </c>
      <c r="J791" s="1" t="s">
        <v>101</v>
      </c>
      <c r="L791" s="1">
        <v>2818006</v>
      </c>
      <c r="M791" s="1" t="s">
        <v>966</v>
      </c>
      <c r="N791" s="8">
        <f t="shared" si="271"/>
        <v>44494</v>
      </c>
      <c r="O791" s="8">
        <f>DATE(2023,7,31)</f>
        <v>45138</v>
      </c>
      <c r="P791" s="1">
        <v>2160</v>
      </c>
      <c r="Q791" s="1">
        <v>1600</v>
      </c>
      <c r="R791" s="1">
        <f t="shared" si="250"/>
        <v>1600</v>
      </c>
      <c r="S791" s="1">
        <v>1</v>
      </c>
      <c r="U791" s="1">
        <f t="shared" si="251"/>
        <v>645</v>
      </c>
      <c r="V791" s="7">
        <f t="shared" si="252"/>
        <v>2.4806201550387597</v>
      </c>
      <c r="W791" s="7">
        <f t="shared" si="253"/>
        <v>905.4263565891473</v>
      </c>
      <c r="X791" s="7">
        <f t="shared" si="254"/>
        <v>1.1317829457364341</v>
      </c>
      <c r="AA791" s="8">
        <f t="shared" si="255"/>
        <v>44927</v>
      </c>
      <c r="AB791" s="8">
        <f t="shared" si="256"/>
        <v>45291</v>
      </c>
      <c r="AC791" s="1">
        <v>16</v>
      </c>
      <c r="AD791" s="1">
        <f t="shared" si="257"/>
        <v>0</v>
      </c>
      <c r="AE791" s="1">
        <f t="shared" si="258"/>
        <v>0</v>
      </c>
      <c r="AF791" s="1">
        <f t="shared" si="259"/>
        <v>212</v>
      </c>
      <c r="AG791" s="1">
        <f t="shared" si="260"/>
        <v>0</v>
      </c>
      <c r="AH791" s="1">
        <f t="shared" si="261"/>
        <v>0</v>
      </c>
      <c r="AI791" s="5">
        <f t="shared" si="262"/>
        <v>0.58082191780821912</v>
      </c>
      <c r="AJ791" s="5">
        <f t="shared" si="263"/>
        <v>0.65736434108527131</v>
      </c>
      <c r="AK791" s="5">
        <f t="shared" si="264"/>
        <v>10.517829457364341</v>
      </c>
      <c r="AL791" s="5">
        <f t="shared" si="265"/>
        <v>10.517829457364341</v>
      </c>
      <c r="AM791" s="5">
        <f t="shared" si="266"/>
        <v>0</v>
      </c>
      <c r="AN791" s="5">
        <f t="shared" si="267"/>
        <v>10.517829457364341</v>
      </c>
      <c r="AO791" s="1" t="s">
        <v>102</v>
      </c>
    </row>
    <row r="792" spans="1:41" x14ac:dyDescent="0.25">
      <c r="A792" s="1" t="s">
        <v>19</v>
      </c>
      <c r="B792" s="1" t="s">
        <v>37</v>
      </c>
      <c r="C792" s="1" t="s">
        <v>21</v>
      </c>
      <c r="D792" s="1" t="s">
        <v>39</v>
      </c>
      <c r="E792" s="1" t="s">
        <v>96</v>
      </c>
      <c r="F792" s="1" t="s">
        <v>103</v>
      </c>
      <c r="G792" s="1" t="s">
        <v>98</v>
      </c>
      <c r="H792" s="1" t="s">
        <v>878</v>
      </c>
      <c r="I792" s="1" t="s">
        <v>255</v>
      </c>
      <c r="J792" s="1" t="s">
        <v>101</v>
      </c>
      <c r="L792" s="1">
        <v>2818009</v>
      </c>
      <c r="M792" s="1" t="s">
        <v>967</v>
      </c>
      <c r="N792" s="8">
        <f t="shared" si="271"/>
        <v>44494</v>
      </c>
      <c r="O792" s="8">
        <f>DATE(2026,7,31)</f>
        <v>46234</v>
      </c>
      <c r="P792" s="1">
        <v>4020</v>
      </c>
      <c r="Q792" s="1">
        <v>3600</v>
      </c>
      <c r="R792" s="1">
        <f t="shared" si="250"/>
        <v>3600</v>
      </c>
      <c r="S792" s="1">
        <v>2.5</v>
      </c>
      <c r="U792" s="1">
        <f t="shared" si="251"/>
        <v>1741</v>
      </c>
      <c r="V792" s="7">
        <f t="shared" si="252"/>
        <v>2.0677771395749569</v>
      </c>
      <c r="W792" s="7">
        <f t="shared" si="253"/>
        <v>754.73865594485926</v>
      </c>
      <c r="X792" s="7">
        <f t="shared" si="254"/>
        <v>0.94342331993107409</v>
      </c>
      <c r="AA792" s="8">
        <f t="shared" si="255"/>
        <v>44927</v>
      </c>
      <c r="AB792" s="8">
        <f t="shared" si="256"/>
        <v>45291</v>
      </c>
      <c r="AC792" s="1">
        <v>15</v>
      </c>
      <c r="AD792" s="1">
        <f t="shared" si="257"/>
        <v>365</v>
      </c>
      <c r="AE792" s="1">
        <f t="shared" si="258"/>
        <v>0</v>
      </c>
      <c r="AF792" s="1">
        <f t="shared" si="259"/>
        <v>0</v>
      </c>
      <c r="AG792" s="1">
        <f t="shared" si="260"/>
        <v>0</v>
      </c>
      <c r="AH792" s="1">
        <f t="shared" si="261"/>
        <v>0</v>
      </c>
      <c r="AI792" s="5">
        <f t="shared" si="262"/>
        <v>1</v>
      </c>
      <c r="AJ792" s="5">
        <f t="shared" si="263"/>
        <v>0.94342331993107409</v>
      </c>
      <c r="AK792" s="5">
        <f t="shared" si="264"/>
        <v>14.151349798966111</v>
      </c>
      <c r="AL792" s="5">
        <f t="shared" si="265"/>
        <v>35.37837449741528</v>
      </c>
      <c r="AM792" s="5">
        <f t="shared" si="266"/>
        <v>0</v>
      </c>
      <c r="AN792" s="5">
        <f t="shared" si="267"/>
        <v>35.37837449741528</v>
      </c>
      <c r="AO792" s="1" t="s">
        <v>102</v>
      </c>
    </row>
    <row r="793" spans="1:41" x14ac:dyDescent="0.25">
      <c r="A793" s="1" t="s">
        <v>19</v>
      </c>
      <c r="B793" s="1" t="s">
        <v>37</v>
      </c>
      <c r="C793" s="1" t="s">
        <v>21</v>
      </c>
      <c r="D793" s="1" t="s">
        <v>39</v>
      </c>
      <c r="E793" s="1" t="s">
        <v>96</v>
      </c>
      <c r="F793" s="1" t="s">
        <v>103</v>
      </c>
      <c r="G793" s="1" t="s">
        <v>185</v>
      </c>
      <c r="H793" s="1" t="s">
        <v>493</v>
      </c>
      <c r="I793" s="1" t="s">
        <v>174</v>
      </c>
      <c r="J793" s="1" t="s">
        <v>101</v>
      </c>
      <c r="L793" s="1">
        <v>2867649</v>
      </c>
      <c r="M793" s="1" t="s">
        <v>968</v>
      </c>
      <c r="N793" s="8">
        <f>DATE(2022,4,22)</f>
        <v>44673</v>
      </c>
      <c r="O793" s="8">
        <f>DATE(2023,12,22)</f>
        <v>45282</v>
      </c>
      <c r="P793" s="1">
        <v>420</v>
      </c>
      <c r="Q793" s="1">
        <v>360</v>
      </c>
      <c r="R793" s="1">
        <f t="shared" si="250"/>
        <v>360</v>
      </c>
      <c r="S793" s="1">
        <v>2</v>
      </c>
      <c r="U793" s="1">
        <f t="shared" si="251"/>
        <v>610</v>
      </c>
      <c r="V793" s="7">
        <f t="shared" si="252"/>
        <v>0.5901639344262295</v>
      </c>
      <c r="W793" s="7">
        <f t="shared" si="253"/>
        <v>215.40983606557376</v>
      </c>
      <c r="X793" s="7">
        <f t="shared" si="254"/>
        <v>0.2692622950819672</v>
      </c>
      <c r="AA793" s="8">
        <f t="shared" si="255"/>
        <v>44927</v>
      </c>
      <c r="AB793" s="8">
        <f t="shared" si="256"/>
        <v>45291</v>
      </c>
      <c r="AC793" s="1">
        <v>39</v>
      </c>
      <c r="AD793" s="1">
        <f t="shared" si="257"/>
        <v>0</v>
      </c>
      <c r="AE793" s="1">
        <f t="shared" si="258"/>
        <v>0</v>
      </c>
      <c r="AF793" s="1">
        <f t="shared" si="259"/>
        <v>356</v>
      </c>
      <c r="AG793" s="1">
        <f t="shared" si="260"/>
        <v>0</v>
      </c>
      <c r="AH793" s="1">
        <f t="shared" si="261"/>
        <v>0</v>
      </c>
      <c r="AI793" s="5">
        <f t="shared" si="262"/>
        <v>0.97534246575342465</v>
      </c>
      <c r="AJ793" s="5">
        <f t="shared" si="263"/>
        <v>0.26262295081967213</v>
      </c>
      <c r="AK793" s="5">
        <f t="shared" si="264"/>
        <v>10.242295081967214</v>
      </c>
      <c r="AL793" s="5">
        <f t="shared" si="265"/>
        <v>20.484590163934428</v>
      </c>
      <c r="AM793" s="5">
        <f t="shared" si="266"/>
        <v>0</v>
      </c>
      <c r="AN793" s="5">
        <f t="shared" si="267"/>
        <v>20.484590163934428</v>
      </c>
      <c r="AO793" s="1" t="s">
        <v>102</v>
      </c>
    </row>
    <row r="794" spans="1:41" x14ac:dyDescent="0.25">
      <c r="A794" s="1" t="s">
        <v>19</v>
      </c>
      <c r="B794" s="1" t="s">
        <v>37</v>
      </c>
      <c r="C794" s="1" t="s">
        <v>21</v>
      </c>
      <c r="D794" s="1" t="s">
        <v>39</v>
      </c>
      <c r="E794" s="1" t="s">
        <v>96</v>
      </c>
      <c r="F794" s="1" t="s">
        <v>103</v>
      </c>
      <c r="G794" s="1" t="s">
        <v>114</v>
      </c>
      <c r="H794" s="1" t="s">
        <v>894</v>
      </c>
      <c r="I794" s="1" t="s">
        <v>157</v>
      </c>
      <c r="J794" s="1" t="s">
        <v>101</v>
      </c>
      <c r="K794" s="1" t="s">
        <v>116</v>
      </c>
      <c r="L794" s="1">
        <v>2867644</v>
      </c>
      <c r="M794" s="1" t="s">
        <v>969</v>
      </c>
      <c r="N794" s="8">
        <f t="shared" ref="N794:N799" si="272">DATE(2022,4,25)</f>
        <v>44676</v>
      </c>
      <c r="O794" s="8">
        <f>DATE(2024,12,20)</f>
        <v>45646</v>
      </c>
      <c r="P794" s="1">
        <v>3689</v>
      </c>
      <c r="Q794" s="1">
        <v>1200</v>
      </c>
      <c r="R794" s="1">
        <f t="shared" si="250"/>
        <v>3200</v>
      </c>
      <c r="S794" s="1">
        <v>1.5</v>
      </c>
      <c r="U794" s="1">
        <f t="shared" si="251"/>
        <v>971</v>
      </c>
      <c r="V794" s="7">
        <f t="shared" si="252"/>
        <v>3.2955715756951598</v>
      </c>
      <c r="W794" s="7">
        <f t="shared" si="253"/>
        <v>1202.8836251287332</v>
      </c>
      <c r="X794" s="7">
        <f t="shared" si="254"/>
        <v>1.5036045314109165</v>
      </c>
      <c r="AA794" s="8">
        <f t="shared" si="255"/>
        <v>44927</v>
      </c>
      <c r="AB794" s="8">
        <f t="shared" si="256"/>
        <v>45291</v>
      </c>
      <c r="AC794" s="1">
        <v>36</v>
      </c>
      <c r="AD794" s="1">
        <f t="shared" si="257"/>
        <v>365</v>
      </c>
      <c r="AE794" s="1">
        <f t="shared" si="258"/>
        <v>0</v>
      </c>
      <c r="AF794" s="1">
        <f t="shared" si="259"/>
        <v>0</v>
      </c>
      <c r="AG794" s="1">
        <f t="shared" si="260"/>
        <v>0</v>
      </c>
      <c r="AH794" s="1">
        <f t="shared" si="261"/>
        <v>0</v>
      </c>
      <c r="AI794" s="5">
        <f t="shared" si="262"/>
        <v>1</v>
      </c>
      <c r="AJ794" s="5">
        <f t="shared" si="263"/>
        <v>1.5036045314109165</v>
      </c>
      <c r="AK794" s="5">
        <f t="shared" si="264"/>
        <v>54.129763130792995</v>
      </c>
      <c r="AL794" s="5">
        <f t="shared" si="265"/>
        <v>81.194644696189499</v>
      </c>
      <c r="AM794" s="5">
        <f t="shared" si="266"/>
        <v>0</v>
      </c>
      <c r="AN794" s="5">
        <f t="shared" si="267"/>
        <v>81.194644696189499</v>
      </c>
      <c r="AO794" s="1" t="s">
        <v>102</v>
      </c>
    </row>
    <row r="795" spans="1:41" x14ac:dyDescent="0.25">
      <c r="A795" s="1" t="s">
        <v>19</v>
      </c>
      <c r="B795" s="1" t="s">
        <v>37</v>
      </c>
      <c r="C795" s="1" t="s">
        <v>21</v>
      </c>
      <c r="D795" s="1" t="s">
        <v>39</v>
      </c>
      <c r="E795" s="1" t="s">
        <v>96</v>
      </c>
      <c r="F795" s="1" t="s">
        <v>103</v>
      </c>
      <c r="G795" s="1" t="s">
        <v>114</v>
      </c>
      <c r="H795" s="1" t="s">
        <v>892</v>
      </c>
      <c r="I795" s="1" t="s">
        <v>194</v>
      </c>
      <c r="J795" s="1" t="s">
        <v>101</v>
      </c>
      <c r="K795" s="1" t="s">
        <v>116</v>
      </c>
      <c r="L795" s="1">
        <v>2867646</v>
      </c>
      <c r="M795" s="1" t="s">
        <v>970</v>
      </c>
      <c r="N795" s="8">
        <f t="shared" si="272"/>
        <v>44676</v>
      </c>
      <c r="O795" s="8">
        <f>DATE(2024,12,20)</f>
        <v>45646</v>
      </c>
      <c r="P795" s="1">
        <v>3689</v>
      </c>
      <c r="Q795" s="1">
        <v>1200</v>
      </c>
      <c r="R795" s="1">
        <f t="shared" si="250"/>
        <v>3200</v>
      </c>
      <c r="S795" s="1">
        <v>2.5</v>
      </c>
      <c r="U795" s="1">
        <f t="shared" si="251"/>
        <v>971</v>
      </c>
      <c r="V795" s="7">
        <f t="shared" si="252"/>
        <v>3.2955715756951598</v>
      </c>
      <c r="W795" s="7">
        <f t="shared" si="253"/>
        <v>1202.8836251287332</v>
      </c>
      <c r="X795" s="7">
        <f t="shared" si="254"/>
        <v>1.5036045314109165</v>
      </c>
      <c r="AA795" s="8">
        <f t="shared" si="255"/>
        <v>44927</v>
      </c>
      <c r="AB795" s="8">
        <f t="shared" si="256"/>
        <v>45291</v>
      </c>
      <c r="AC795" s="1">
        <v>35</v>
      </c>
      <c r="AD795" s="1">
        <f t="shared" si="257"/>
        <v>365</v>
      </c>
      <c r="AE795" s="1">
        <f t="shared" si="258"/>
        <v>0</v>
      </c>
      <c r="AF795" s="1">
        <f t="shared" si="259"/>
        <v>0</v>
      </c>
      <c r="AG795" s="1">
        <f t="shared" si="260"/>
        <v>0</v>
      </c>
      <c r="AH795" s="1">
        <f t="shared" si="261"/>
        <v>0</v>
      </c>
      <c r="AI795" s="5">
        <f t="shared" si="262"/>
        <v>1</v>
      </c>
      <c r="AJ795" s="5">
        <f t="shared" si="263"/>
        <v>1.5036045314109165</v>
      </c>
      <c r="AK795" s="5">
        <f t="shared" si="264"/>
        <v>52.62615859938208</v>
      </c>
      <c r="AL795" s="5">
        <f t="shared" si="265"/>
        <v>131.56539649845519</v>
      </c>
      <c r="AM795" s="5">
        <f t="shared" si="266"/>
        <v>0</v>
      </c>
      <c r="AN795" s="5">
        <f t="shared" si="267"/>
        <v>131.56539649845519</v>
      </c>
      <c r="AO795" s="1" t="s">
        <v>102</v>
      </c>
    </row>
    <row r="796" spans="1:41" x14ac:dyDescent="0.25">
      <c r="A796" s="1" t="s">
        <v>19</v>
      </c>
      <c r="B796" s="1" t="s">
        <v>37</v>
      </c>
      <c r="C796" s="1" t="s">
        <v>21</v>
      </c>
      <c r="D796" s="1" t="s">
        <v>39</v>
      </c>
      <c r="E796" s="1" t="s">
        <v>96</v>
      </c>
      <c r="F796" s="1" t="s">
        <v>103</v>
      </c>
      <c r="G796" s="1" t="s">
        <v>114</v>
      </c>
      <c r="H796" s="1" t="s">
        <v>254</v>
      </c>
      <c r="I796" s="1" t="s">
        <v>255</v>
      </c>
      <c r="J796" s="1" t="s">
        <v>101</v>
      </c>
      <c r="K796" s="1" t="s">
        <v>175</v>
      </c>
      <c r="L796" s="1">
        <v>2867682</v>
      </c>
      <c r="M796" s="1" t="s">
        <v>971</v>
      </c>
      <c r="N796" s="8">
        <f t="shared" si="272"/>
        <v>44676</v>
      </c>
      <c r="O796" s="8">
        <f>DATE(2023,12,15)</f>
        <v>45275</v>
      </c>
      <c r="P796" s="1">
        <v>1367</v>
      </c>
      <c r="Q796" s="1">
        <v>1200</v>
      </c>
      <c r="R796" s="1">
        <f t="shared" si="250"/>
        <v>1200</v>
      </c>
      <c r="S796" s="1">
        <v>2.5</v>
      </c>
      <c r="U796" s="1">
        <f t="shared" si="251"/>
        <v>600</v>
      </c>
      <c r="V796" s="7">
        <f t="shared" si="252"/>
        <v>2</v>
      </c>
      <c r="W796" s="7">
        <f t="shared" si="253"/>
        <v>730</v>
      </c>
      <c r="X796" s="7">
        <f t="shared" si="254"/>
        <v>0.91249999999999998</v>
      </c>
      <c r="AA796" s="8">
        <f t="shared" si="255"/>
        <v>44927</v>
      </c>
      <c r="AB796" s="8">
        <f t="shared" si="256"/>
        <v>45291</v>
      </c>
      <c r="AC796" s="1">
        <v>20</v>
      </c>
      <c r="AD796" s="1">
        <f t="shared" si="257"/>
        <v>0</v>
      </c>
      <c r="AE796" s="1">
        <f t="shared" si="258"/>
        <v>0</v>
      </c>
      <c r="AF796" s="1">
        <f t="shared" si="259"/>
        <v>349</v>
      </c>
      <c r="AG796" s="1">
        <f t="shared" si="260"/>
        <v>0</v>
      </c>
      <c r="AH796" s="1">
        <f t="shared" si="261"/>
        <v>0</v>
      </c>
      <c r="AI796" s="5">
        <f t="shared" si="262"/>
        <v>0.95616438356164379</v>
      </c>
      <c r="AJ796" s="5">
        <f t="shared" si="263"/>
        <v>0.87249999999999994</v>
      </c>
      <c r="AK796" s="5">
        <f t="shared" si="264"/>
        <v>17.45</v>
      </c>
      <c r="AL796" s="5">
        <f t="shared" si="265"/>
        <v>43.625</v>
      </c>
      <c r="AM796" s="5">
        <f t="shared" si="266"/>
        <v>0</v>
      </c>
      <c r="AN796" s="5">
        <f t="shared" si="267"/>
        <v>43.625</v>
      </c>
      <c r="AO796" s="1" t="s">
        <v>102</v>
      </c>
    </row>
    <row r="797" spans="1:41" x14ac:dyDescent="0.25">
      <c r="A797" s="1" t="s">
        <v>19</v>
      </c>
      <c r="B797" s="1" t="s">
        <v>37</v>
      </c>
      <c r="C797" s="1" t="s">
        <v>21</v>
      </c>
      <c r="D797" s="1" t="s">
        <v>39</v>
      </c>
      <c r="E797" s="1" t="s">
        <v>96</v>
      </c>
      <c r="F797" s="1" t="s">
        <v>103</v>
      </c>
      <c r="G797" s="1" t="s">
        <v>114</v>
      </c>
      <c r="H797" s="1" t="s">
        <v>892</v>
      </c>
      <c r="I797" s="1" t="s">
        <v>194</v>
      </c>
      <c r="J797" s="1" t="s">
        <v>101</v>
      </c>
      <c r="K797" s="1" t="s">
        <v>175</v>
      </c>
      <c r="L797" s="1">
        <v>2867683</v>
      </c>
      <c r="M797" s="1" t="s">
        <v>972</v>
      </c>
      <c r="N797" s="8">
        <f t="shared" si="272"/>
        <v>44676</v>
      </c>
      <c r="O797" s="8">
        <f>DATE(2023,12,15)</f>
        <v>45275</v>
      </c>
      <c r="P797" s="1">
        <v>1343</v>
      </c>
      <c r="Q797" s="1">
        <v>1200</v>
      </c>
      <c r="R797" s="1">
        <f t="shared" si="250"/>
        <v>1200</v>
      </c>
      <c r="S797" s="1">
        <v>2.5</v>
      </c>
      <c r="U797" s="1">
        <f t="shared" si="251"/>
        <v>600</v>
      </c>
      <c r="V797" s="7">
        <f t="shared" si="252"/>
        <v>2</v>
      </c>
      <c r="W797" s="7">
        <f t="shared" si="253"/>
        <v>730</v>
      </c>
      <c r="X797" s="7">
        <f t="shared" si="254"/>
        <v>0.91249999999999998</v>
      </c>
      <c r="AA797" s="8">
        <f t="shared" si="255"/>
        <v>44927</v>
      </c>
      <c r="AB797" s="8">
        <f t="shared" si="256"/>
        <v>45291</v>
      </c>
      <c r="AC797" s="1">
        <v>14</v>
      </c>
      <c r="AD797" s="1">
        <f t="shared" si="257"/>
        <v>0</v>
      </c>
      <c r="AE797" s="1">
        <f t="shared" si="258"/>
        <v>0</v>
      </c>
      <c r="AF797" s="1">
        <f t="shared" si="259"/>
        <v>349</v>
      </c>
      <c r="AG797" s="1">
        <f t="shared" si="260"/>
        <v>0</v>
      </c>
      <c r="AH797" s="1">
        <f t="shared" si="261"/>
        <v>0</v>
      </c>
      <c r="AI797" s="5">
        <f t="shared" si="262"/>
        <v>0.95616438356164379</v>
      </c>
      <c r="AJ797" s="5">
        <f t="shared" si="263"/>
        <v>0.87249999999999994</v>
      </c>
      <c r="AK797" s="5">
        <f t="shared" si="264"/>
        <v>12.215</v>
      </c>
      <c r="AL797" s="5">
        <f t="shared" si="265"/>
        <v>30.537500000000001</v>
      </c>
      <c r="AM797" s="5">
        <f t="shared" si="266"/>
        <v>0</v>
      </c>
      <c r="AN797" s="5">
        <f t="shared" si="267"/>
        <v>30.537500000000001</v>
      </c>
      <c r="AO797" s="1" t="s">
        <v>102</v>
      </c>
    </row>
    <row r="798" spans="1:41" x14ac:dyDescent="0.25">
      <c r="A798" s="1" t="s">
        <v>19</v>
      </c>
      <c r="B798" s="1" t="s">
        <v>37</v>
      </c>
      <c r="C798" s="1" t="s">
        <v>21</v>
      </c>
      <c r="D798" s="1" t="s">
        <v>39</v>
      </c>
      <c r="E798" s="1" t="s">
        <v>96</v>
      </c>
      <c r="F798" s="1" t="s">
        <v>103</v>
      </c>
      <c r="G798" s="1" t="s">
        <v>127</v>
      </c>
      <c r="H798" s="1" t="s">
        <v>872</v>
      </c>
      <c r="I798" s="1" t="s">
        <v>157</v>
      </c>
      <c r="J798" s="1" t="s">
        <v>101</v>
      </c>
      <c r="L798" s="1">
        <v>2867685</v>
      </c>
      <c r="M798" s="1" t="s">
        <v>973</v>
      </c>
      <c r="N798" s="8">
        <f t="shared" si="272"/>
        <v>44676</v>
      </c>
      <c r="O798" s="8">
        <f>DATE(2024,12,20)</f>
        <v>45646</v>
      </c>
      <c r="P798" s="1">
        <v>1680</v>
      </c>
      <c r="Q798" s="1">
        <v>1600</v>
      </c>
      <c r="R798" s="1">
        <f t="shared" si="250"/>
        <v>1600</v>
      </c>
      <c r="S798" s="1">
        <v>1</v>
      </c>
      <c r="U798" s="1">
        <f t="shared" si="251"/>
        <v>971</v>
      </c>
      <c r="V798" s="7">
        <f t="shared" si="252"/>
        <v>1.6477857878475799</v>
      </c>
      <c r="W798" s="7">
        <f t="shared" si="253"/>
        <v>601.44181256436661</v>
      </c>
      <c r="X798" s="7">
        <f t="shared" si="254"/>
        <v>0.75180226570545827</v>
      </c>
      <c r="AA798" s="8">
        <f t="shared" si="255"/>
        <v>44927</v>
      </c>
      <c r="AB798" s="8">
        <f t="shared" si="256"/>
        <v>45291</v>
      </c>
      <c r="AC798" s="1">
        <v>22</v>
      </c>
      <c r="AD798" s="1">
        <f t="shared" si="257"/>
        <v>365</v>
      </c>
      <c r="AE798" s="1">
        <f t="shared" si="258"/>
        <v>0</v>
      </c>
      <c r="AF798" s="1">
        <f t="shared" si="259"/>
        <v>0</v>
      </c>
      <c r="AG798" s="1">
        <f t="shared" si="260"/>
        <v>0</v>
      </c>
      <c r="AH798" s="1">
        <f t="shared" si="261"/>
        <v>0</v>
      </c>
      <c r="AI798" s="5">
        <f t="shared" si="262"/>
        <v>1</v>
      </c>
      <c r="AJ798" s="5">
        <f t="shared" si="263"/>
        <v>0.75180226570545827</v>
      </c>
      <c r="AK798" s="5">
        <f t="shared" si="264"/>
        <v>16.539649845520081</v>
      </c>
      <c r="AL798" s="5">
        <f t="shared" si="265"/>
        <v>16.539649845520081</v>
      </c>
      <c r="AM798" s="5">
        <f t="shared" si="266"/>
        <v>0</v>
      </c>
      <c r="AN798" s="5">
        <f t="shared" si="267"/>
        <v>16.539649845520081</v>
      </c>
      <c r="AO798" s="1" t="s">
        <v>102</v>
      </c>
    </row>
    <row r="799" spans="1:41" x14ac:dyDescent="0.25">
      <c r="A799" s="1" t="s">
        <v>19</v>
      </c>
      <c r="B799" s="1" t="s">
        <v>37</v>
      </c>
      <c r="C799" s="1" t="s">
        <v>21</v>
      </c>
      <c r="D799" s="1" t="s">
        <v>39</v>
      </c>
      <c r="E799" s="1" t="s">
        <v>96</v>
      </c>
      <c r="F799" s="1" t="s">
        <v>103</v>
      </c>
      <c r="G799" s="1" t="s">
        <v>98</v>
      </c>
      <c r="H799" s="1" t="s">
        <v>878</v>
      </c>
      <c r="I799" s="1" t="s">
        <v>255</v>
      </c>
      <c r="J799" s="1" t="s">
        <v>101</v>
      </c>
      <c r="L799" s="1">
        <v>2867687</v>
      </c>
      <c r="M799" s="1" t="s">
        <v>974</v>
      </c>
      <c r="N799" s="8">
        <f t="shared" si="272"/>
        <v>44676</v>
      </c>
      <c r="O799" s="8">
        <f>DATE(2026,12,18)</f>
        <v>46374</v>
      </c>
      <c r="P799" s="1">
        <v>3780</v>
      </c>
      <c r="Q799" s="1">
        <v>3600</v>
      </c>
      <c r="R799" s="1">
        <f t="shared" si="250"/>
        <v>3600</v>
      </c>
      <c r="S799" s="1">
        <v>2.5</v>
      </c>
      <c r="U799" s="1">
        <f t="shared" si="251"/>
        <v>1699</v>
      </c>
      <c r="V799" s="7">
        <f t="shared" si="252"/>
        <v>2.1188934667451442</v>
      </c>
      <c r="W799" s="7">
        <f t="shared" si="253"/>
        <v>773.39611536197765</v>
      </c>
      <c r="X799" s="7">
        <f t="shared" si="254"/>
        <v>0.96674514420247204</v>
      </c>
      <c r="AA799" s="8">
        <f t="shared" si="255"/>
        <v>44927</v>
      </c>
      <c r="AB799" s="8">
        <f t="shared" si="256"/>
        <v>45291</v>
      </c>
      <c r="AC799" s="1">
        <v>19</v>
      </c>
      <c r="AD799" s="1">
        <f t="shared" si="257"/>
        <v>365</v>
      </c>
      <c r="AE799" s="1">
        <f t="shared" si="258"/>
        <v>0</v>
      </c>
      <c r="AF799" s="1">
        <f t="shared" si="259"/>
        <v>0</v>
      </c>
      <c r="AG799" s="1">
        <f t="shared" si="260"/>
        <v>0</v>
      </c>
      <c r="AH799" s="1">
        <f t="shared" si="261"/>
        <v>0</v>
      </c>
      <c r="AI799" s="5">
        <f t="shared" si="262"/>
        <v>1</v>
      </c>
      <c r="AJ799" s="5">
        <f t="shared" si="263"/>
        <v>0.96674514420247204</v>
      </c>
      <c r="AK799" s="5">
        <f t="shared" si="264"/>
        <v>18.368157739846968</v>
      </c>
      <c r="AL799" s="5">
        <f t="shared" si="265"/>
        <v>45.920394349617418</v>
      </c>
      <c r="AM799" s="5">
        <f t="shared" si="266"/>
        <v>0</v>
      </c>
      <c r="AN799" s="5">
        <f t="shared" si="267"/>
        <v>45.920394349617418</v>
      </c>
      <c r="AO799" s="1" t="s">
        <v>102</v>
      </c>
    </row>
    <row r="800" spans="1:41" x14ac:dyDescent="0.25">
      <c r="A800" s="1" t="s">
        <v>19</v>
      </c>
      <c r="B800" s="1" t="s">
        <v>37</v>
      </c>
      <c r="C800" s="1" t="s">
        <v>21</v>
      </c>
      <c r="D800" s="1" t="s">
        <v>39</v>
      </c>
      <c r="E800" s="1" t="s">
        <v>96</v>
      </c>
      <c r="F800" s="1" t="s">
        <v>103</v>
      </c>
      <c r="G800" s="1" t="s">
        <v>634</v>
      </c>
      <c r="H800" s="1" t="s">
        <v>937</v>
      </c>
      <c r="I800" s="1" t="s">
        <v>157</v>
      </c>
      <c r="J800" s="1" t="s">
        <v>101</v>
      </c>
      <c r="L800" s="1">
        <v>2877906</v>
      </c>
      <c r="M800" s="1" t="s">
        <v>975</v>
      </c>
      <c r="N800" s="8">
        <f>DATE(2022,5,16)</f>
        <v>44697</v>
      </c>
      <c r="O800" s="8">
        <f>DATE(2023,12,22)</f>
        <v>45282</v>
      </c>
      <c r="P800" s="1">
        <v>360</v>
      </c>
      <c r="Q800" s="1">
        <v>360</v>
      </c>
      <c r="R800" s="1">
        <f t="shared" si="250"/>
        <v>360</v>
      </c>
      <c r="S800" s="1">
        <v>3.75</v>
      </c>
      <c r="U800" s="1">
        <f t="shared" si="251"/>
        <v>586</v>
      </c>
      <c r="V800" s="7">
        <f t="shared" si="252"/>
        <v>0.61433447098976113</v>
      </c>
      <c r="W800" s="7">
        <f t="shared" si="253"/>
        <v>224.23208191126281</v>
      </c>
      <c r="X800" s="7">
        <f t="shared" si="254"/>
        <v>0.28029010238907853</v>
      </c>
      <c r="AA800" s="8">
        <f t="shared" si="255"/>
        <v>44927</v>
      </c>
      <c r="AB800" s="8">
        <f t="shared" si="256"/>
        <v>45291</v>
      </c>
      <c r="AC800" s="1">
        <v>11</v>
      </c>
      <c r="AD800" s="1">
        <f t="shared" si="257"/>
        <v>0</v>
      </c>
      <c r="AE800" s="1">
        <f t="shared" si="258"/>
        <v>0</v>
      </c>
      <c r="AF800" s="1">
        <f t="shared" si="259"/>
        <v>356</v>
      </c>
      <c r="AG800" s="1">
        <f t="shared" si="260"/>
        <v>0</v>
      </c>
      <c r="AH800" s="1">
        <f t="shared" si="261"/>
        <v>0</v>
      </c>
      <c r="AI800" s="5">
        <f t="shared" si="262"/>
        <v>0.97534246575342465</v>
      </c>
      <c r="AJ800" s="5">
        <f t="shared" si="263"/>
        <v>0.27337883959044373</v>
      </c>
      <c r="AK800" s="5">
        <f t="shared" si="264"/>
        <v>3.0071672354948813</v>
      </c>
      <c r="AL800" s="5">
        <f t="shared" si="265"/>
        <v>11.276877133105804</v>
      </c>
      <c r="AM800" s="5">
        <f t="shared" si="266"/>
        <v>0</v>
      </c>
      <c r="AN800" s="5">
        <f t="shared" si="267"/>
        <v>11.276877133105804</v>
      </c>
      <c r="AO800" s="1" t="s">
        <v>102</v>
      </c>
    </row>
    <row r="801" spans="1:41" x14ac:dyDescent="0.25">
      <c r="A801" s="1" t="s">
        <v>19</v>
      </c>
      <c r="B801" s="1" t="s">
        <v>37</v>
      </c>
      <c r="C801" s="1" t="s">
        <v>21</v>
      </c>
      <c r="D801" s="1" t="s">
        <v>39</v>
      </c>
      <c r="E801" s="1" t="s">
        <v>96</v>
      </c>
      <c r="F801" s="1" t="s">
        <v>103</v>
      </c>
      <c r="G801" s="1" t="s">
        <v>702</v>
      </c>
      <c r="H801" s="1" t="s">
        <v>951</v>
      </c>
      <c r="I801" s="1" t="s">
        <v>210</v>
      </c>
      <c r="J801" s="1" t="s">
        <v>101</v>
      </c>
      <c r="L801" s="1">
        <v>2895780</v>
      </c>
      <c r="M801" s="1" t="s">
        <v>976</v>
      </c>
      <c r="N801" s="8">
        <f>DATE(2022,8,1)</f>
        <v>44774</v>
      </c>
      <c r="O801" s="8">
        <f>DATE(2024,8,30)</f>
        <v>45534</v>
      </c>
      <c r="P801" s="1">
        <v>360</v>
      </c>
      <c r="Q801" s="1">
        <v>360</v>
      </c>
      <c r="R801" s="1">
        <f t="shared" si="250"/>
        <v>360</v>
      </c>
      <c r="S801" s="1">
        <v>3.75</v>
      </c>
      <c r="U801" s="1">
        <f t="shared" si="251"/>
        <v>761</v>
      </c>
      <c r="V801" s="7">
        <f t="shared" si="252"/>
        <v>0.47306176084099871</v>
      </c>
      <c r="W801" s="7">
        <f t="shared" si="253"/>
        <v>172.66754270696453</v>
      </c>
      <c r="X801" s="7">
        <f t="shared" si="254"/>
        <v>0.21583442838370565</v>
      </c>
      <c r="AA801" s="8">
        <f t="shared" si="255"/>
        <v>44927</v>
      </c>
      <c r="AB801" s="8">
        <f t="shared" si="256"/>
        <v>45291</v>
      </c>
      <c r="AC801" s="1">
        <v>3</v>
      </c>
      <c r="AD801" s="1">
        <f t="shared" si="257"/>
        <v>365</v>
      </c>
      <c r="AE801" s="1">
        <f t="shared" si="258"/>
        <v>0</v>
      </c>
      <c r="AF801" s="1">
        <f t="shared" si="259"/>
        <v>0</v>
      </c>
      <c r="AG801" s="1">
        <f t="shared" si="260"/>
        <v>0</v>
      </c>
      <c r="AH801" s="1">
        <f t="shared" si="261"/>
        <v>0</v>
      </c>
      <c r="AI801" s="5">
        <f t="shared" si="262"/>
        <v>1</v>
      </c>
      <c r="AJ801" s="5">
        <f t="shared" si="263"/>
        <v>0.21583442838370565</v>
      </c>
      <c r="AK801" s="5">
        <f t="shared" si="264"/>
        <v>0.64750328515111688</v>
      </c>
      <c r="AL801" s="5">
        <f t="shared" si="265"/>
        <v>2.4281373193166882</v>
      </c>
      <c r="AM801" s="5">
        <f t="shared" si="266"/>
        <v>0</v>
      </c>
      <c r="AN801" s="5">
        <f t="shared" si="267"/>
        <v>2.4281373193166882</v>
      </c>
      <c r="AO801" s="1" t="s">
        <v>102</v>
      </c>
    </row>
    <row r="802" spans="1:41" x14ac:dyDescent="0.25">
      <c r="A802" s="1" t="s">
        <v>19</v>
      </c>
      <c r="B802" s="1" t="s">
        <v>37</v>
      </c>
      <c r="C802" s="1" t="s">
        <v>21</v>
      </c>
      <c r="D802" s="1" t="s">
        <v>39</v>
      </c>
      <c r="E802" s="1" t="s">
        <v>96</v>
      </c>
      <c r="F802" s="1" t="s">
        <v>103</v>
      </c>
      <c r="G802" s="1" t="s">
        <v>114</v>
      </c>
      <c r="H802" s="1" t="s">
        <v>254</v>
      </c>
      <c r="I802" s="1" t="s">
        <v>255</v>
      </c>
      <c r="J802" s="1" t="s">
        <v>101</v>
      </c>
      <c r="K802" s="1" t="s">
        <v>175</v>
      </c>
      <c r="L802" s="1">
        <v>2914577</v>
      </c>
      <c r="M802" s="1" t="s">
        <v>977</v>
      </c>
      <c r="N802" s="8">
        <f t="shared" ref="N802:N807" si="273">DATE(2022,9,22)</f>
        <v>44826</v>
      </c>
      <c r="O802" s="8">
        <f>DATE(2024,7,31)</f>
        <v>45504</v>
      </c>
      <c r="P802" s="1">
        <v>1367</v>
      </c>
      <c r="Q802" s="1">
        <v>1200</v>
      </c>
      <c r="R802" s="1">
        <f t="shared" si="250"/>
        <v>1200</v>
      </c>
      <c r="S802" s="1">
        <v>2.5</v>
      </c>
      <c r="U802" s="1">
        <f t="shared" si="251"/>
        <v>679</v>
      </c>
      <c r="V802" s="7">
        <f t="shared" si="252"/>
        <v>1.7673048600883652</v>
      </c>
      <c r="W802" s="7">
        <f t="shared" si="253"/>
        <v>645.06627393225324</v>
      </c>
      <c r="X802" s="7">
        <f t="shared" si="254"/>
        <v>0.80633284241531655</v>
      </c>
      <c r="AA802" s="8">
        <f t="shared" si="255"/>
        <v>44927</v>
      </c>
      <c r="AB802" s="8">
        <f t="shared" si="256"/>
        <v>45291</v>
      </c>
      <c r="AC802" s="1">
        <v>23</v>
      </c>
      <c r="AD802" s="1">
        <f t="shared" si="257"/>
        <v>365</v>
      </c>
      <c r="AE802" s="1">
        <f t="shared" si="258"/>
        <v>0</v>
      </c>
      <c r="AF802" s="1">
        <f t="shared" si="259"/>
        <v>0</v>
      </c>
      <c r="AG802" s="1">
        <f t="shared" si="260"/>
        <v>0</v>
      </c>
      <c r="AH802" s="1">
        <f t="shared" si="261"/>
        <v>0</v>
      </c>
      <c r="AI802" s="5">
        <f t="shared" si="262"/>
        <v>1</v>
      </c>
      <c r="AJ802" s="5">
        <f t="shared" si="263"/>
        <v>0.80633284241531655</v>
      </c>
      <c r="AK802" s="5">
        <f t="shared" si="264"/>
        <v>18.545655375552279</v>
      </c>
      <c r="AL802" s="5">
        <f t="shared" si="265"/>
        <v>46.364138438880701</v>
      </c>
      <c r="AM802" s="5">
        <f t="shared" si="266"/>
        <v>0</v>
      </c>
      <c r="AN802" s="5">
        <f t="shared" si="267"/>
        <v>46.364138438880701</v>
      </c>
      <c r="AO802" s="1" t="s">
        <v>102</v>
      </c>
    </row>
    <row r="803" spans="1:41" x14ac:dyDescent="0.25">
      <c r="A803" s="1" t="s">
        <v>19</v>
      </c>
      <c r="B803" s="1" t="s">
        <v>37</v>
      </c>
      <c r="C803" s="1" t="s">
        <v>21</v>
      </c>
      <c r="D803" s="1" t="s">
        <v>39</v>
      </c>
      <c r="E803" s="1" t="s">
        <v>96</v>
      </c>
      <c r="F803" s="1" t="s">
        <v>103</v>
      </c>
      <c r="G803" s="1" t="s">
        <v>114</v>
      </c>
      <c r="H803" s="1" t="s">
        <v>894</v>
      </c>
      <c r="I803" s="1" t="s">
        <v>157</v>
      </c>
      <c r="J803" s="1" t="s">
        <v>101</v>
      </c>
      <c r="K803" s="1" t="s">
        <v>116</v>
      </c>
      <c r="L803" s="1">
        <v>2914729</v>
      </c>
      <c r="M803" s="1" t="s">
        <v>978</v>
      </c>
      <c r="N803" s="8">
        <f t="shared" si="273"/>
        <v>44826</v>
      </c>
      <c r="O803" s="8">
        <f>DATE(2025,7,31)</f>
        <v>45869</v>
      </c>
      <c r="P803" s="1">
        <v>3689</v>
      </c>
      <c r="Q803" s="1">
        <v>1200</v>
      </c>
      <c r="R803" s="1">
        <f t="shared" si="250"/>
        <v>3200</v>
      </c>
      <c r="S803" s="1">
        <v>1.5</v>
      </c>
      <c r="U803" s="1">
        <f t="shared" si="251"/>
        <v>1044</v>
      </c>
      <c r="V803" s="7">
        <f t="shared" si="252"/>
        <v>3.0651340996168583</v>
      </c>
      <c r="W803" s="7">
        <f t="shared" si="253"/>
        <v>1118.7739463601533</v>
      </c>
      <c r="X803" s="7">
        <f t="shared" si="254"/>
        <v>1.3984674329501916</v>
      </c>
      <c r="AA803" s="8">
        <f t="shared" si="255"/>
        <v>44927</v>
      </c>
      <c r="AB803" s="8">
        <f t="shared" si="256"/>
        <v>45291</v>
      </c>
      <c r="AC803" s="1">
        <v>35</v>
      </c>
      <c r="AD803" s="1">
        <f t="shared" si="257"/>
        <v>365</v>
      </c>
      <c r="AE803" s="1">
        <f t="shared" si="258"/>
        <v>0</v>
      </c>
      <c r="AF803" s="1">
        <f t="shared" si="259"/>
        <v>0</v>
      </c>
      <c r="AG803" s="1">
        <f t="shared" si="260"/>
        <v>0</v>
      </c>
      <c r="AH803" s="1">
        <f t="shared" si="261"/>
        <v>0</v>
      </c>
      <c r="AI803" s="5">
        <f t="shared" si="262"/>
        <v>1</v>
      </c>
      <c r="AJ803" s="5">
        <f t="shared" si="263"/>
        <v>1.3984674329501916</v>
      </c>
      <c r="AK803" s="5">
        <f t="shared" si="264"/>
        <v>48.946360153256705</v>
      </c>
      <c r="AL803" s="5">
        <f t="shared" si="265"/>
        <v>73.419540229885058</v>
      </c>
      <c r="AM803" s="5">
        <f t="shared" si="266"/>
        <v>0</v>
      </c>
      <c r="AN803" s="5">
        <f t="shared" si="267"/>
        <v>73.419540229885058</v>
      </c>
      <c r="AO803" s="1" t="s">
        <v>102</v>
      </c>
    </row>
    <row r="804" spans="1:41" x14ac:dyDescent="0.25">
      <c r="A804" s="1" t="s">
        <v>19</v>
      </c>
      <c r="B804" s="1" t="s">
        <v>37</v>
      </c>
      <c r="C804" s="1" t="s">
        <v>21</v>
      </c>
      <c r="D804" s="1" t="s">
        <v>39</v>
      </c>
      <c r="E804" s="1" t="s">
        <v>96</v>
      </c>
      <c r="F804" s="1" t="s">
        <v>103</v>
      </c>
      <c r="G804" s="1" t="s">
        <v>114</v>
      </c>
      <c r="H804" s="1" t="s">
        <v>892</v>
      </c>
      <c r="I804" s="1" t="s">
        <v>194</v>
      </c>
      <c r="J804" s="1" t="s">
        <v>101</v>
      </c>
      <c r="K804" s="1" t="s">
        <v>116</v>
      </c>
      <c r="L804" s="1">
        <v>2914731</v>
      </c>
      <c r="M804" s="1" t="s">
        <v>979</v>
      </c>
      <c r="N804" s="8">
        <f t="shared" si="273"/>
        <v>44826</v>
      </c>
      <c r="O804" s="8">
        <f>DATE(2025,7,31)</f>
        <v>45869</v>
      </c>
      <c r="P804" s="1">
        <v>3689</v>
      </c>
      <c r="Q804" s="1">
        <v>1200</v>
      </c>
      <c r="R804" s="1">
        <f t="shared" si="250"/>
        <v>3200</v>
      </c>
      <c r="S804" s="1">
        <v>2.5</v>
      </c>
      <c r="U804" s="1">
        <f t="shared" si="251"/>
        <v>1044</v>
      </c>
      <c r="V804" s="7">
        <f t="shared" si="252"/>
        <v>3.0651340996168583</v>
      </c>
      <c r="W804" s="7">
        <f t="shared" si="253"/>
        <v>1118.7739463601533</v>
      </c>
      <c r="X804" s="7">
        <f t="shared" si="254"/>
        <v>1.3984674329501916</v>
      </c>
      <c r="AA804" s="8">
        <f t="shared" si="255"/>
        <v>44927</v>
      </c>
      <c r="AB804" s="8">
        <f t="shared" si="256"/>
        <v>45291</v>
      </c>
      <c r="AC804" s="1">
        <v>34</v>
      </c>
      <c r="AD804" s="1">
        <f t="shared" si="257"/>
        <v>365</v>
      </c>
      <c r="AE804" s="1">
        <f t="shared" si="258"/>
        <v>0</v>
      </c>
      <c r="AF804" s="1">
        <f t="shared" si="259"/>
        <v>0</v>
      </c>
      <c r="AG804" s="1">
        <f t="shared" si="260"/>
        <v>0</v>
      </c>
      <c r="AH804" s="1">
        <f t="shared" si="261"/>
        <v>0</v>
      </c>
      <c r="AI804" s="5">
        <f t="shared" si="262"/>
        <v>1</v>
      </c>
      <c r="AJ804" s="5">
        <f t="shared" si="263"/>
        <v>1.3984674329501916</v>
      </c>
      <c r="AK804" s="5">
        <f t="shared" si="264"/>
        <v>47.547892720306514</v>
      </c>
      <c r="AL804" s="5">
        <f t="shared" si="265"/>
        <v>118.86973180076629</v>
      </c>
      <c r="AM804" s="5">
        <f t="shared" si="266"/>
        <v>0</v>
      </c>
      <c r="AN804" s="5">
        <f t="shared" si="267"/>
        <v>118.86973180076629</v>
      </c>
      <c r="AO804" s="1" t="s">
        <v>102</v>
      </c>
    </row>
    <row r="805" spans="1:41" x14ac:dyDescent="0.25">
      <c r="A805" s="1" t="s">
        <v>19</v>
      </c>
      <c r="B805" s="1" t="s">
        <v>37</v>
      </c>
      <c r="C805" s="1" t="s">
        <v>21</v>
      </c>
      <c r="D805" s="1" t="s">
        <v>39</v>
      </c>
      <c r="E805" s="1" t="s">
        <v>96</v>
      </c>
      <c r="F805" s="1" t="s">
        <v>103</v>
      </c>
      <c r="G805" s="1" t="s">
        <v>127</v>
      </c>
      <c r="H805" s="1" t="s">
        <v>872</v>
      </c>
      <c r="I805" s="1" t="s">
        <v>157</v>
      </c>
      <c r="J805" s="1" t="s">
        <v>101</v>
      </c>
      <c r="L805" s="1">
        <v>2914735</v>
      </c>
      <c r="M805" s="1" t="s">
        <v>980</v>
      </c>
      <c r="N805" s="8">
        <f t="shared" si="273"/>
        <v>44826</v>
      </c>
      <c r="O805" s="8">
        <f>DATE(2025,7,31)</f>
        <v>45869</v>
      </c>
      <c r="P805" s="1">
        <v>1680</v>
      </c>
      <c r="Q805" s="1">
        <v>1600</v>
      </c>
      <c r="R805" s="1">
        <f t="shared" si="250"/>
        <v>1600</v>
      </c>
      <c r="S805" s="1">
        <v>1</v>
      </c>
      <c r="U805" s="1">
        <f t="shared" si="251"/>
        <v>1044</v>
      </c>
      <c r="V805" s="7">
        <f t="shared" si="252"/>
        <v>1.5325670498084292</v>
      </c>
      <c r="W805" s="7">
        <f t="shared" si="253"/>
        <v>559.38697318007667</v>
      </c>
      <c r="X805" s="7">
        <f t="shared" si="254"/>
        <v>0.6992337164750958</v>
      </c>
      <c r="AA805" s="8">
        <f t="shared" si="255"/>
        <v>44927</v>
      </c>
      <c r="AB805" s="8">
        <f t="shared" si="256"/>
        <v>45291</v>
      </c>
      <c r="AC805" s="1">
        <v>26</v>
      </c>
      <c r="AD805" s="1">
        <f t="shared" si="257"/>
        <v>365</v>
      </c>
      <c r="AE805" s="1">
        <f t="shared" si="258"/>
        <v>0</v>
      </c>
      <c r="AF805" s="1">
        <f t="shared" si="259"/>
        <v>0</v>
      </c>
      <c r="AG805" s="1">
        <f t="shared" si="260"/>
        <v>0</v>
      </c>
      <c r="AH805" s="1">
        <f t="shared" si="261"/>
        <v>0</v>
      </c>
      <c r="AI805" s="5">
        <f t="shared" si="262"/>
        <v>1</v>
      </c>
      <c r="AJ805" s="5">
        <f t="shared" si="263"/>
        <v>0.6992337164750958</v>
      </c>
      <c r="AK805" s="5">
        <f t="shared" si="264"/>
        <v>18.180076628352491</v>
      </c>
      <c r="AL805" s="5">
        <f t="shared" si="265"/>
        <v>18.180076628352491</v>
      </c>
      <c r="AM805" s="5">
        <f t="shared" si="266"/>
        <v>0</v>
      </c>
      <c r="AN805" s="5">
        <f t="shared" si="267"/>
        <v>18.180076628352491</v>
      </c>
      <c r="AO805" s="1" t="s">
        <v>102</v>
      </c>
    </row>
    <row r="806" spans="1:41" x14ac:dyDescent="0.25">
      <c r="A806" s="1" t="s">
        <v>19</v>
      </c>
      <c r="B806" s="1" t="s">
        <v>37</v>
      </c>
      <c r="C806" s="1" t="s">
        <v>21</v>
      </c>
      <c r="D806" s="1" t="s">
        <v>39</v>
      </c>
      <c r="E806" s="1" t="s">
        <v>96</v>
      </c>
      <c r="F806" s="1" t="s">
        <v>103</v>
      </c>
      <c r="G806" s="1" t="s">
        <v>98</v>
      </c>
      <c r="H806" s="1" t="s">
        <v>878</v>
      </c>
      <c r="I806" s="1" t="s">
        <v>255</v>
      </c>
      <c r="J806" s="1" t="s">
        <v>101</v>
      </c>
      <c r="L806" s="1">
        <v>2914756</v>
      </c>
      <c r="M806" s="1" t="s">
        <v>981</v>
      </c>
      <c r="N806" s="8">
        <f t="shared" si="273"/>
        <v>44826</v>
      </c>
      <c r="O806" s="8">
        <f>DATE(2027,7,31)</f>
        <v>46599</v>
      </c>
      <c r="P806" s="1">
        <v>3780</v>
      </c>
      <c r="Q806" s="1">
        <v>3600</v>
      </c>
      <c r="R806" s="1">
        <f t="shared" si="250"/>
        <v>3600</v>
      </c>
      <c r="S806" s="1">
        <v>2.5</v>
      </c>
      <c r="U806" s="1">
        <f t="shared" si="251"/>
        <v>1774</v>
      </c>
      <c r="V806" s="7">
        <f t="shared" si="252"/>
        <v>2.0293122886133035</v>
      </c>
      <c r="W806" s="7">
        <f t="shared" si="253"/>
        <v>740.69898534385572</v>
      </c>
      <c r="X806" s="7">
        <f t="shared" si="254"/>
        <v>0.92587373167981968</v>
      </c>
      <c r="AA806" s="8">
        <f t="shared" si="255"/>
        <v>44927</v>
      </c>
      <c r="AB806" s="8">
        <f t="shared" si="256"/>
        <v>45291</v>
      </c>
      <c r="AC806" s="1">
        <v>16</v>
      </c>
      <c r="AD806" s="1">
        <f t="shared" si="257"/>
        <v>365</v>
      </c>
      <c r="AE806" s="1">
        <f t="shared" si="258"/>
        <v>0</v>
      </c>
      <c r="AF806" s="1">
        <f t="shared" si="259"/>
        <v>0</v>
      </c>
      <c r="AG806" s="1">
        <f t="shared" si="260"/>
        <v>0</v>
      </c>
      <c r="AH806" s="1">
        <f t="shared" si="261"/>
        <v>0</v>
      </c>
      <c r="AI806" s="5">
        <f t="shared" si="262"/>
        <v>1</v>
      </c>
      <c r="AJ806" s="5">
        <f t="shared" si="263"/>
        <v>0.92587373167981968</v>
      </c>
      <c r="AK806" s="5">
        <f t="shared" si="264"/>
        <v>14.813979706877115</v>
      </c>
      <c r="AL806" s="5">
        <f t="shared" si="265"/>
        <v>37.034949267192786</v>
      </c>
      <c r="AM806" s="5">
        <f t="shared" si="266"/>
        <v>0</v>
      </c>
      <c r="AN806" s="5">
        <f t="shared" si="267"/>
        <v>37.034949267192786</v>
      </c>
      <c r="AO806" s="1" t="s">
        <v>102</v>
      </c>
    </row>
    <row r="807" spans="1:41" x14ac:dyDescent="0.25">
      <c r="A807" s="1" t="s">
        <v>19</v>
      </c>
      <c r="B807" s="1" t="s">
        <v>37</v>
      </c>
      <c r="C807" s="1" t="s">
        <v>21</v>
      </c>
      <c r="D807" s="1" t="s">
        <v>39</v>
      </c>
      <c r="E807" s="1" t="s">
        <v>96</v>
      </c>
      <c r="F807" s="1" t="s">
        <v>103</v>
      </c>
      <c r="G807" s="1" t="s">
        <v>98</v>
      </c>
      <c r="H807" s="1" t="s">
        <v>321</v>
      </c>
      <c r="I807" s="1" t="s">
        <v>194</v>
      </c>
      <c r="J807" s="1" t="s">
        <v>101</v>
      </c>
      <c r="L807" s="1">
        <v>2914861</v>
      </c>
      <c r="M807" s="1" t="s">
        <v>982</v>
      </c>
      <c r="N807" s="8">
        <f t="shared" si="273"/>
        <v>44826</v>
      </c>
      <c r="O807" s="8">
        <f>DATE(2025,12,31)</f>
        <v>46022</v>
      </c>
      <c r="P807" s="1">
        <v>2782</v>
      </c>
      <c r="Q807" s="1">
        <v>2400</v>
      </c>
      <c r="R807" s="1">
        <f t="shared" si="250"/>
        <v>2400</v>
      </c>
      <c r="S807" s="1">
        <v>2.5</v>
      </c>
      <c r="U807" s="1">
        <f t="shared" si="251"/>
        <v>1197</v>
      </c>
      <c r="V807" s="7">
        <f t="shared" si="252"/>
        <v>2.0050125313283207</v>
      </c>
      <c r="W807" s="7">
        <f t="shared" si="253"/>
        <v>731.82957393483707</v>
      </c>
      <c r="X807" s="7">
        <f t="shared" si="254"/>
        <v>0.91478696741854637</v>
      </c>
      <c r="AA807" s="8">
        <f t="shared" si="255"/>
        <v>44927</v>
      </c>
      <c r="AB807" s="8">
        <f t="shared" si="256"/>
        <v>45291</v>
      </c>
      <c r="AC807" s="1">
        <v>29</v>
      </c>
      <c r="AD807" s="1">
        <f t="shared" si="257"/>
        <v>365</v>
      </c>
      <c r="AE807" s="1">
        <f t="shared" si="258"/>
        <v>0</v>
      </c>
      <c r="AF807" s="1">
        <f t="shared" si="259"/>
        <v>0</v>
      </c>
      <c r="AG807" s="1">
        <f t="shared" si="260"/>
        <v>0</v>
      </c>
      <c r="AH807" s="1">
        <f t="shared" si="261"/>
        <v>0</v>
      </c>
      <c r="AI807" s="5">
        <f t="shared" si="262"/>
        <v>1</v>
      </c>
      <c r="AJ807" s="5">
        <f t="shared" si="263"/>
        <v>0.91478696741854637</v>
      </c>
      <c r="AK807" s="5">
        <f t="shared" si="264"/>
        <v>26.528822055137844</v>
      </c>
      <c r="AL807" s="5">
        <f t="shared" si="265"/>
        <v>66.322055137844615</v>
      </c>
      <c r="AM807" s="5">
        <f t="shared" si="266"/>
        <v>0</v>
      </c>
      <c r="AN807" s="5">
        <f t="shared" si="267"/>
        <v>66.322055137844615</v>
      </c>
      <c r="AO807" s="1" t="s">
        <v>102</v>
      </c>
    </row>
    <row r="808" spans="1:41" x14ac:dyDescent="0.25">
      <c r="A808" s="1" t="s">
        <v>19</v>
      </c>
      <c r="B808" s="1" t="s">
        <v>37</v>
      </c>
      <c r="C808" s="1" t="s">
        <v>21</v>
      </c>
      <c r="D808" s="1" t="s">
        <v>39</v>
      </c>
      <c r="E808" s="1" t="s">
        <v>96</v>
      </c>
      <c r="F808" s="1" t="s">
        <v>103</v>
      </c>
      <c r="G808" s="1" t="s">
        <v>127</v>
      </c>
      <c r="H808" s="1" t="s">
        <v>872</v>
      </c>
      <c r="I808" s="1" t="s">
        <v>157</v>
      </c>
      <c r="J808" s="1" t="s">
        <v>101</v>
      </c>
      <c r="L808" s="1">
        <v>2963387</v>
      </c>
      <c r="M808" s="1" t="s">
        <v>983</v>
      </c>
      <c r="N808" s="8">
        <f t="shared" ref="N808:N813" si="274">DATE(2023,3,9)</f>
        <v>44994</v>
      </c>
      <c r="O808" s="8">
        <f>DATE(2026,7,30)</f>
        <v>46233</v>
      </c>
      <c r="P808" s="1">
        <v>1680</v>
      </c>
      <c r="Q808" s="1">
        <v>1600</v>
      </c>
      <c r="R808" s="1">
        <f t="shared" si="250"/>
        <v>1600</v>
      </c>
      <c r="S808" s="1">
        <v>1</v>
      </c>
      <c r="U808" s="1">
        <f t="shared" si="251"/>
        <v>1240</v>
      </c>
      <c r="V808" s="7">
        <f t="shared" si="252"/>
        <v>1.2903225806451613</v>
      </c>
      <c r="W808" s="7">
        <f t="shared" si="253"/>
        <v>470.96774193548384</v>
      </c>
      <c r="X808" s="7">
        <f t="shared" si="254"/>
        <v>0.58870967741935476</v>
      </c>
      <c r="AA808" s="8">
        <f t="shared" si="255"/>
        <v>44927</v>
      </c>
      <c r="AB808" s="8">
        <f t="shared" si="256"/>
        <v>45291</v>
      </c>
      <c r="AC808" s="1">
        <v>27</v>
      </c>
      <c r="AD808" s="1">
        <f t="shared" si="257"/>
        <v>0</v>
      </c>
      <c r="AE808" s="1">
        <f t="shared" si="258"/>
        <v>298</v>
      </c>
      <c r="AF808" s="1">
        <f t="shared" si="259"/>
        <v>0</v>
      </c>
      <c r="AG808" s="1">
        <f t="shared" si="260"/>
        <v>0</v>
      </c>
      <c r="AH808" s="1">
        <f t="shared" si="261"/>
        <v>0</v>
      </c>
      <c r="AI808" s="5">
        <f t="shared" si="262"/>
        <v>0.81643835616438354</v>
      </c>
      <c r="AJ808" s="5">
        <f t="shared" si="263"/>
        <v>0.48064516129032248</v>
      </c>
      <c r="AK808" s="5">
        <f t="shared" si="264"/>
        <v>12.977419354838707</v>
      </c>
      <c r="AL808" s="5">
        <f t="shared" si="265"/>
        <v>12.977419354838707</v>
      </c>
      <c r="AM808" s="5">
        <f t="shared" si="266"/>
        <v>0</v>
      </c>
      <c r="AN808" s="5">
        <f t="shared" si="267"/>
        <v>12.977419354838707</v>
      </c>
      <c r="AO808" s="1" t="s">
        <v>102</v>
      </c>
    </row>
    <row r="809" spans="1:41" x14ac:dyDescent="0.25">
      <c r="A809" s="1" t="s">
        <v>19</v>
      </c>
      <c r="B809" s="1" t="s">
        <v>37</v>
      </c>
      <c r="C809" s="1" t="s">
        <v>21</v>
      </c>
      <c r="D809" s="1" t="s">
        <v>39</v>
      </c>
      <c r="E809" s="1" t="s">
        <v>96</v>
      </c>
      <c r="F809" s="1" t="s">
        <v>103</v>
      </c>
      <c r="G809" s="1" t="s">
        <v>98</v>
      </c>
      <c r="H809" s="1" t="s">
        <v>878</v>
      </c>
      <c r="I809" s="1" t="s">
        <v>255</v>
      </c>
      <c r="J809" s="1" t="s">
        <v>101</v>
      </c>
      <c r="L809" s="1">
        <v>2963417</v>
      </c>
      <c r="M809" s="1" t="s">
        <v>984</v>
      </c>
      <c r="N809" s="8">
        <f t="shared" si="274"/>
        <v>44994</v>
      </c>
      <c r="O809" s="8">
        <f>DATE(2027,12,31)</f>
        <v>46752</v>
      </c>
      <c r="P809" s="1">
        <v>3780</v>
      </c>
      <c r="Q809" s="1">
        <v>3600</v>
      </c>
      <c r="R809" s="1">
        <f t="shared" si="250"/>
        <v>3600</v>
      </c>
      <c r="S809" s="1">
        <v>2.5</v>
      </c>
      <c r="U809" s="1">
        <f t="shared" si="251"/>
        <v>1759</v>
      </c>
      <c r="V809" s="7">
        <f t="shared" si="252"/>
        <v>2.0466173962478682</v>
      </c>
      <c r="W809" s="7">
        <f t="shared" si="253"/>
        <v>747.01534963047186</v>
      </c>
      <c r="X809" s="7">
        <f t="shared" si="254"/>
        <v>0.93376918703808987</v>
      </c>
      <c r="AA809" s="8">
        <f t="shared" si="255"/>
        <v>44927</v>
      </c>
      <c r="AB809" s="8">
        <f t="shared" si="256"/>
        <v>45291</v>
      </c>
      <c r="AC809" s="1">
        <v>21</v>
      </c>
      <c r="AD809" s="1">
        <f t="shared" si="257"/>
        <v>0</v>
      </c>
      <c r="AE809" s="1">
        <f t="shared" si="258"/>
        <v>298</v>
      </c>
      <c r="AF809" s="1">
        <f t="shared" si="259"/>
        <v>0</v>
      </c>
      <c r="AG809" s="1">
        <f t="shared" si="260"/>
        <v>0</v>
      </c>
      <c r="AH809" s="1">
        <f t="shared" si="261"/>
        <v>0</v>
      </c>
      <c r="AI809" s="5">
        <f t="shared" si="262"/>
        <v>0.81643835616438354</v>
      </c>
      <c r="AJ809" s="5">
        <f t="shared" si="263"/>
        <v>0.76236498010233089</v>
      </c>
      <c r="AK809" s="5">
        <f t="shared" si="264"/>
        <v>16.00966458214895</v>
      </c>
      <c r="AL809" s="5">
        <f t="shared" si="265"/>
        <v>40.024161455372379</v>
      </c>
      <c r="AM809" s="5">
        <f t="shared" si="266"/>
        <v>0</v>
      </c>
      <c r="AN809" s="5">
        <f t="shared" si="267"/>
        <v>40.024161455372379</v>
      </c>
      <c r="AO809" s="1" t="s">
        <v>102</v>
      </c>
    </row>
    <row r="810" spans="1:41" x14ac:dyDescent="0.25">
      <c r="A810" s="1" t="s">
        <v>19</v>
      </c>
      <c r="B810" s="1" t="s">
        <v>37</v>
      </c>
      <c r="C810" s="1" t="s">
        <v>21</v>
      </c>
      <c r="D810" s="1" t="s">
        <v>39</v>
      </c>
      <c r="E810" s="1" t="s">
        <v>96</v>
      </c>
      <c r="F810" s="1" t="s">
        <v>103</v>
      </c>
      <c r="G810" s="1" t="s">
        <v>98</v>
      </c>
      <c r="H810" s="1" t="s">
        <v>321</v>
      </c>
      <c r="I810" s="1" t="s">
        <v>194</v>
      </c>
      <c r="J810" s="1" t="s">
        <v>101</v>
      </c>
      <c r="L810" s="1">
        <v>2963434</v>
      </c>
      <c r="M810" s="1" t="s">
        <v>985</v>
      </c>
      <c r="N810" s="8">
        <f t="shared" si="274"/>
        <v>44994</v>
      </c>
      <c r="O810" s="8">
        <f>DATE(2026,7,30)</f>
        <v>46233</v>
      </c>
      <c r="P810" s="1">
        <v>2782</v>
      </c>
      <c r="Q810" s="1">
        <v>2400</v>
      </c>
      <c r="R810" s="1">
        <f t="shared" si="250"/>
        <v>2400</v>
      </c>
      <c r="S810" s="1">
        <v>2.5</v>
      </c>
      <c r="U810" s="1">
        <f t="shared" si="251"/>
        <v>1240</v>
      </c>
      <c r="V810" s="7">
        <f t="shared" si="252"/>
        <v>1.935483870967742</v>
      </c>
      <c r="W810" s="7">
        <f t="shared" si="253"/>
        <v>706.45161290322585</v>
      </c>
      <c r="X810" s="7">
        <f t="shared" si="254"/>
        <v>0.88306451612903236</v>
      </c>
      <c r="AA810" s="8">
        <f t="shared" si="255"/>
        <v>44927</v>
      </c>
      <c r="AB810" s="8">
        <f t="shared" si="256"/>
        <v>45291</v>
      </c>
      <c r="AC810" s="1">
        <v>35</v>
      </c>
      <c r="AD810" s="1">
        <f t="shared" si="257"/>
        <v>0</v>
      </c>
      <c r="AE810" s="1">
        <f t="shared" si="258"/>
        <v>298</v>
      </c>
      <c r="AF810" s="1">
        <f t="shared" si="259"/>
        <v>0</v>
      </c>
      <c r="AG810" s="1">
        <f t="shared" si="260"/>
        <v>0</v>
      </c>
      <c r="AH810" s="1">
        <f t="shared" si="261"/>
        <v>0</v>
      </c>
      <c r="AI810" s="5">
        <f t="shared" si="262"/>
        <v>0.81643835616438354</v>
      </c>
      <c r="AJ810" s="5">
        <f t="shared" si="263"/>
        <v>0.72096774193548396</v>
      </c>
      <c r="AK810" s="5">
        <f t="shared" si="264"/>
        <v>25.233870967741939</v>
      </c>
      <c r="AL810" s="5">
        <f t="shared" si="265"/>
        <v>63.084677419354847</v>
      </c>
      <c r="AM810" s="5">
        <f t="shared" si="266"/>
        <v>0</v>
      </c>
      <c r="AN810" s="5">
        <f t="shared" si="267"/>
        <v>63.084677419354847</v>
      </c>
      <c r="AO810" s="1" t="s">
        <v>102</v>
      </c>
    </row>
    <row r="811" spans="1:41" x14ac:dyDescent="0.25">
      <c r="A811" s="1" t="s">
        <v>19</v>
      </c>
      <c r="B811" s="1" t="s">
        <v>37</v>
      </c>
      <c r="C811" s="1" t="s">
        <v>21</v>
      </c>
      <c r="D811" s="1" t="s">
        <v>39</v>
      </c>
      <c r="E811" s="1" t="s">
        <v>96</v>
      </c>
      <c r="F811" s="1" t="s">
        <v>103</v>
      </c>
      <c r="G811" s="1" t="s">
        <v>114</v>
      </c>
      <c r="H811" s="1" t="s">
        <v>894</v>
      </c>
      <c r="I811" s="1" t="s">
        <v>157</v>
      </c>
      <c r="J811" s="1" t="s">
        <v>101</v>
      </c>
      <c r="K811" s="1" t="s">
        <v>116</v>
      </c>
      <c r="L811" s="1">
        <v>2963532</v>
      </c>
      <c r="M811" s="1" t="s">
        <v>986</v>
      </c>
      <c r="N811" s="8">
        <f t="shared" si="274"/>
        <v>44994</v>
      </c>
      <c r="O811" s="8">
        <f>DATE(2025,12,30)</f>
        <v>46021</v>
      </c>
      <c r="P811" s="1">
        <v>3689</v>
      </c>
      <c r="Q811" s="1">
        <v>1200</v>
      </c>
      <c r="R811" s="1">
        <f t="shared" si="250"/>
        <v>3200</v>
      </c>
      <c r="S811" s="1">
        <v>1.5</v>
      </c>
      <c r="U811" s="1">
        <f t="shared" si="251"/>
        <v>1028</v>
      </c>
      <c r="V811" s="7">
        <f t="shared" si="252"/>
        <v>3.1128404669260701</v>
      </c>
      <c r="W811" s="7">
        <f t="shared" si="253"/>
        <v>1136.1867704280155</v>
      </c>
      <c r="X811" s="7">
        <f t="shared" si="254"/>
        <v>1.4202334630350193</v>
      </c>
      <c r="AA811" s="8">
        <f t="shared" si="255"/>
        <v>44927</v>
      </c>
      <c r="AB811" s="8">
        <f t="shared" si="256"/>
        <v>45291</v>
      </c>
      <c r="AC811" s="1">
        <v>35</v>
      </c>
      <c r="AD811" s="1">
        <f t="shared" si="257"/>
        <v>0</v>
      </c>
      <c r="AE811" s="1">
        <f t="shared" si="258"/>
        <v>298</v>
      </c>
      <c r="AF811" s="1">
        <f t="shared" si="259"/>
        <v>0</v>
      </c>
      <c r="AG811" s="1">
        <f t="shared" si="260"/>
        <v>0</v>
      </c>
      <c r="AH811" s="1">
        <f t="shared" si="261"/>
        <v>0</v>
      </c>
      <c r="AI811" s="5">
        <f t="shared" si="262"/>
        <v>0.81643835616438354</v>
      </c>
      <c r="AJ811" s="5">
        <f t="shared" si="263"/>
        <v>1.159533073929961</v>
      </c>
      <c r="AK811" s="5">
        <f t="shared" si="264"/>
        <v>40.583657587548636</v>
      </c>
      <c r="AL811" s="5">
        <f t="shared" si="265"/>
        <v>60.875486381322958</v>
      </c>
      <c r="AM811" s="5">
        <f t="shared" si="266"/>
        <v>0</v>
      </c>
      <c r="AN811" s="5">
        <f t="shared" si="267"/>
        <v>60.875486381322958</v>
      </c>
      <c r="AO811" s="1" t="s">
        <v>102</v>
      </c>
    </row>
    <row r="812" spans="1:41" x14ac:dyDescent="0.25">
      <c r="A812" s="1" t="s">
        <v>19</v>
      </c>
      <c r="B812" s="1" t="s">
        <v>37</v>
      </c>
      <c r="C812" s="1" t="s">
        <v>21</v>
      </c>
      <c r="D812" s="1" t="s">
        <v>39</v>
      </c>
      <c r="E812" s="1" t="s">
        <v>96</v>
      </c>
      <c r="F812" s="1" t="s">
        <v>103</v>
      </c>
      <c r="G812" s="1" t="s">
        <v>114</v>
      </c>
      <c r="H812" s="1" t="s">
        <v>892</v>
      </c>
      <c r="I812" s="1" t="s">
        <v>194</v>
      </c>
      <c r="J812" s="1" t="s">
        <v>101</v>
      </c>
      <c r="K812" s="1" t="s">
        <v>116</v>
      </c>
      <c r="L812" s="1">
        <v>2963553</v>
      </c>
      <c r="M812" s="1" t="s">
        <v>987</v>
      </c>
      <c r="N812" s="8">
        <f t="shared" si="274"/>
        <v>44994</v>
      </c>
      <c r="O812" s="8">
        <f>DATE(2025,12,30)</f>
        <v>46021</v>
      </c>
      <c r="P812" s="1">
        <v>3689</v>
      </c>
      <c r="Q812" s="1">
        <v>1200</v>
      </c>
      <c r="R812" s="1">
        <f t="shared" si="250"/>
        <v>3200</v>
      </c>
      <c r="S812" s="1">
        <v>2.5</v>
      </c>
      <c r="U812" s="1">
        <f t="shared" si="251"/>
        <v>1028</v>
      </c>
      <c r="V812" s="7">
        <f t="shared" si="252"/>
        <v>3.1128404669260701</v>
      </c>
      <c r="W812" s="7">
        <f t="shared" si="253"/>
        <v>1136.1867704280155</v>
      </c>
      <c r="X812" s="7">
        <f t="shared" si="254"/>
        <v>1.4202334630350193</v>
      </c>
      <c r="AA812" s="8">
        <f t="shared" si="255"/>
        <v>44927</v>
      </c>
      <c r="AB812" s="8">
        <f t="shared" si="256"/>
        <v>45291</v>
      </c>
      <c r="AC812" s="1">
        <v>34</v>
      </c>
      <c r="AD812" s="1">
        <f t="shared" si="257"/>
        <v>0</v>
      </c>
      <c r="AE812" s="1">
        <f t="shared" si="258"/>
        <v>298</v>
      </c>
      <c r="AF812" s="1">
        <f t="shared" si="259"/>
        <v>0</v>
      </c>
      <c r="AG812" s="1">
        <f t="shared" si="260"/>
        <v>0</v>
      </c>
      <c r="AH812" s="1">
        <f t="shared" si="261"/>
        <v>0</v>
      </c>
      <c r="AI812" s="5">
        <f t="shared" si="262"/>
        <v>0.81643835616438354</v>
      </c>
      <c r="AJ812" s="5">
        <f t="shared" si="263"/>
        <v>1.159533073929961</v>
      </c>
      <c r="AK812" s="5">
        <f t="shared" si="264"/>
        <v>39.424124513618672</v>
      </c>
      <c r="AL812" s="5">
        <f t="shared" si="265"/>
        <v>98.560311284046676</v>
      </c>
      <c r="AM812" s="5">
        <f t="shared" si="266"/>
        <v>0</v>
      </c>
      <c r="AN812" s="5">
        <f t="shared" si="267"/>
        <v>98.560311284046676</v>
      </c>
      <c r="AO812" s="1" t="s">
        <v>102</v>
      </c>
    </row>
    <row r="813" spans="1:41" x14ac:dyDescent="0.25">
      <c r="A813" s="1" t="s">
        <v>19</v>
      </c>
      <c r="B813" s="1" t="s">
        <v>37</v>
      </c>
      <c r="C813" s="1" t="s">
        <v>21</v>
      </c>
      <c r="D813" s="1" t="s">
        <v>39</v>
      </c>
      <c r="E813" s="1" t="s">
        <v>96</v>
      </c>
      <c r="F813" s="1" t="s">
        <v>103</v>
      </c>
      <c r="G813" s="1" t="s">
        <v>114</v>
      </c>
      <c r="H813" s="1" t="s">
        <v>254</v>
      </c>
      <c r="I813" s="1" t="s">
        <v>255</v>
      </c>
      <c r="J813" s="1" t="s">
        <v>101</v>
      </c>
      <c r="K813" s="1" t="s">
        <v>175</v>
      </c>
      <c r="L813" s="1">
        <v>2967141</v>
      </c>
      <c r="M813" s="1" t="s">
        <v>988</v>
      </c>
      <c r="N813" s="8">
        <f t="shared" si="274"/>
        <v>44994</v>
      </c>
      <c r="O813" s="8">
        <f>DATE(2024,12,20)</f>
        <v>45646</v>
      </c>
      <c r="P813" s="1">
        <v>1367</v>
      </c>
      <c r="Q813" s="1">
        <v>1200</v>
      </c>
      <c r="R813" s="1">
        <f t="shared" si="250"/>
        <v>1200</v>
      </c>
      <c r="S813" s="1">
        <v>2.5</v>
      </c>
      <c r="U813" s="1">
        <f t="shared" si="251"/>
        <v>653</v>
      </c>
      <c r="V813" s="7">
        <f t="shared" si="252"/>
        <v>1.8376722817764166</v>
      </c>
      <c r="W813" s="7">
        <f t="shared" si="253"/>
        <v>670.75038284839206</v>
      </c>
      <c r="X813" s="7">
        <f t="shared" si="254"/>
        <v>0.83843797856049007</v>
      </c>
      <c r="AA813" s="8">
        <f t="shared" si="255"/>
        <v>44927</v>
      </c>
      <c r="AB813" s="8">
        <f t="shared" si="256"/>
        <v>45291</v>
      </c>
      <c r="AC813" s="1">
        <v>22</v>
      </c>
      <c r="AD813" s="1">
        <f t="shared" si="257"/>
        <v>0</v>
      </c>
      <c r="AE813" s="1">
        <f t="shared" si="258"/>
        <v>298</v>
      </c>
      <c r="AF813" s="1">
        <f t="shared" si="259"/>
        <v>0</v>
      </c>
      <c r="AG813" s="1">
        <f t="shared" si="260"/>
        <v>0</v>
      </c>
      <c r="AH813" s="1">
        <f t="shared" si="261"/>
        <v>0</v>
      </c>
      <c r="AI813" s="5">
        <f t="shared" si="262"/>
        <v>0.81643835616438354</v>
      </c>
      <c r="AJ813" s="5">
        <f t="shared" si="263"/>
        <v>0.68453292496171514</v>
      </c>
      <c r="AK813" s="5">
        <f t="shared" si="264"/>
        <v>15.059724349157733</v>
      </c>
      <c r="AL813" s="5">
        <f t="shared" si="265"/>
        <v>37.649310872894333</v>
      </c>
      <c r="AM813" s="5">
        <f t="shared" si="266"/>
        <v>0</v>
      </c>
      <c r="AN813" s="5">
        <f t="shared" si="267"/>
        <v>37.649310872894333</v>
      </c>
      <c r="AO813" s="1" t="s">
        <v>102</v>
      </c>
    </row>
    <row r="814" spans="1:41" x14ac:dyDescent="0.25">
      <c r="A814" s="1" t="s">
        <v>19</v>
      </c>
      <c r="B814" s="1" t="s">
        <v>37</v>
      </c>
      <c r="C814" s="1" t="s">
        <v>21</v>
      </c>
      <c r="D814" s="1" t="s">
        <v>39</v>
      </c>
      <c r="E814" s="1" t="s">
        <v>96</v>
      </c>
      <c r="F814" s="1" t="s">
        <v>103</v>
      </c>
      <c r="G814" s="1" t="s">
        <v>702</v>
      </c>
      <c r="H814" s="1" t="s">
        <v>951</v>
      </c>
      <c r="I814" s="1" t="s">
        <v>210</v>
      </c>
      <c r="J814" s="1" t="s">
        <v>101</v>
      </c>
      <c r="L814" s="1">
        <v>2967122</v>
      </c>
      <c r="M814" s="1" t="s">
        <v>989</v>
      </c>
      <c r="N814" s="8">
        <f>DATE(2023,3,20)</f>
        <v>45005</v>
      </c>
      <c r="O814" s="8">
        <f>DATE(2025,3,20)</f>
        <v>45736</v>
      </c>
      <c r="P814" s="1">
        <v>360</v>
      </c>
      <c r="Q814" s="1">
        <v>360</v>
      </c>
      <c r="R814" s="1">
        <f t="shared" si="250"/>
        <v>360</v>
      </c>
      <c r="S814" s="1">
        <v>3.75</v>
      </c>
      <c r="U814" s="1">
        <f t="shared" si="251"/>
        <v>732</v>
      </c>
      <c r="V814" s="7">
        <f t="shared" si="252"/>
        <v>0.49180327868852458</v>
      </c>
      <c r="W814" s="7">
        <f t="shared" si="253"/>
        <v>179.50819672131146</v>
      </c>
      <c r="X814" s="7">
        <f t="shared" si="254"/>
        <v>0.22438524590163933</v>
      </c>
      <c r="AA814" s="8">
        <f t="shared" si="255"/>
        <v>44927</v>
      </c>
      <c r="AB814" s="8">
        <f t="shared" si="256"/>
        <v>45291</v>
      </c>
      <c r="AC814" s="1">
        <v>8</v>
      </c>
      <c r="AD814" s="1">
        <f t="shared" si="257"/>
        <v>0</v>
      </c>
      <c r="AE814" s="1">
        <f t="shared" si="258"/>
        <v>287</v>
      </c>
      <c r="AF814" s="1">
        <f t="shared" si="259"/>
        <v>0</v>
      </c>
      <c r="AG814" s="1">
        <f t="shared" si="260"/>
        <v>0</v>
      </c>
      <c r="AH814" s="1">
        <f t="shared" si="261"/>
        <v>0</v>
      </c>
      <c r="AI814" s="5">
        <f t="shared" si="262"/>
        <v>0.78630136986301369</v>
      </c>
      <c r="AJ814" s="5">
        <f t="shared" si="263"/>
        <v>0.1764344262295082</v>
      </c>
      <c r="AK814" s="5">
        <f t="shared" si="264"/>
        <v>1.4114754098360656</v>
      </c>
      <c r="AL814" s="5">
        <f t="shared" si="265"/>
        <v>5.293032786885246</v>
      </c>
      <c r="AM814" s="5">
        <f t="shared" si="266"/>
        <v>0</v>
      </c>
      <c r="AN814" s="5">
        <f t="shared" si="267"/>
        <v>5.293032786885246</v>
      </c>
      <c r="AO814" s="1" t="s">
        <v>102</v>
      </c>
    </row>
    <row r="815" spans="1:41" x14ac:dyDescent="0.25">
      <c r="A815" s="1" t="s">
        <v>19</v>
      </c>
      <c r="B815" s="1" t="s">
        <v>37</v>
      </c>
      <c r="C815" s="1" t="s">
        <v>21</v>
      </c>
      <c r="D815" s="1" t="s">
        <v>39</v>
      </c>
      <c r="E815" s="1" t="s">
        <v>172</v>
      </c>
      <c r="F815" s="1" t="s">
        <v>103</v>
      </c>
      <c r="G815" s="1" t="s">
        <v>114</v>
      </c>
      <c r="H815" s="1" t="s">
        <v>173</v>
      </c>
      <c r="I815" s="1" t="s">
        <v>174</v>
      </c>
      <c r="J815" s="1" t="s">
        <v>101</v>
      </c>
      <c r="K815" s="1" t="s">
        <v>175</v>
      </c>
      <c r="L815" s="1">
        <v>2958240</v>
      </c>
      <c r="M815" s="1" t="s">
        <v>176</v>
      </c>
      <c r="N815" s="8">
        <f>DATE(2023,4,3)</f>
        <v>45019</v>
      </c>
      <c r="O815" s="8">
        <f>DATE(2024,8,31)</f>
        <v>45535</v>
      </c>
      <c r="P815" s="1">
        <v>1200</v>
      </c>
      <c r="Q815" s="1">
        <v>1200</v>
      </c>
      <c r="R815" s="1">
        <f t="shared" si="250"/>
        <v>1200</v>
      </c>
      <c r="S815" s="1">
        <v>2</v>
      </c>
      <c r="U815" s="1">
        <f t="shared" si="251"/>
        <v>517</v>
      </c>
      <c r="V815" s="7">
        <f t="shared" si="252"/>
        <v>2.3210831721470018</v>
      </c>
      <c r="W815" s="7">
        <f t="shared" si="253"/>
        <v>847.19535783365563</v>
      </c>
      <c r="X815" s="7">
        <f t="shared" si="254"/>
        <v>1.0589941972920696</v>
      </c>
      <c r="AA815" s="8">
        <f t="shared" si="255"/>
        <v>44927</v>
      </c>
      <c r="AB815" s="8">
        <f t="shared" si="256"/>
        <v>45291</v>
      </c>
      <c r="AC815" s="1">
        <v>45</v>
      </c>
      <c r="AD815" s="1">
        <f t="shared" si="257"/>
        <v>0</v>
      </c>
      <c r="AE815" s="1">
        <f t="shared" si="258"/>
        <v>273</v>
      </c>
      <c r="AF815" s="1">
        <f t="shared" si="259"/>
        <v>0</v>
      </c>
      <c r="AG815" s="1">
        <f t="shared" si="260"/>
        <v>0</v>
      </c>
      <c r="AH815" s="1">
        <f t="shared" si="261"/>
        <v>0</v>
      </c>
      <c r="AI815" s="5">
        <f t="shared" si="262"/>
        <v>0.74794520547945209</v>
      </c>
      <c r="AJ815" s="5">
        <f t="shared" si="263"/>
        <v>0.79206963249516438</v>
      </c>
      <c r="AK815" s="5">
        <f t="shared" si="264"/>
        <v>35.6431334622824</v>
      </c>
      <c r="AL815" s="5">
        <f t="shared" si="265"/>
        <v>71.286266924564799</v>
      </c>
      <c r="AM815" s="5">
        <f t="shared" si="266"/>
        <v>0</v>
      </c>
      <c r="AN815" s="5">
        <f t="shared" si="267"/>
        <v>71.286266924564799</v>
      </c>
      <c r="AO815" s="1" t="s">
        <v>122</v>
      </c>
    </row>
    <row r="816" spans="1:41" x14ac:dyDescent="0.25">
      <c r="A816" s="1" t="s">
        <v>19</v>
      </c>
      <c r="B816" s="1" t="s">
        <v>37</v>
      </c>
      <c r="C816" s="1" t="s">
        <v>21</v>
      </c>
      <c r="D816" s="1" t="s">
        <v>39</v>
      </c>
      <c r="E816" s="1" t="s">
        <v>172</v>
      </c>
      <c r="F816" s="1" t="s">
        <v>103</v>
      </c>
      <c r="G816" s="1" t="s">
        <v>114</v>
      </c>
      <c r="H816" s="1" t="s">
        <v>179</v>
      </c>
      <c r="I816" s="1" t="s">
        <v>174</v>
      </c>
      <c r="J816" s="1" t="s">
        <v>101</v>
      </c>
      <c r="K816" s="1" t="s">
        <v>175</v>
      </c>
      <c r="L816" s="1">
        <v>2958243</v>
      </c>
      <c r="M816" s="1" t="s">
        <v>180</v>
      </c>
      <c r="N816" s="8">
        <f>DATE(2023,4,3)</f>
        <v>45019</v>
      </c>
      <c r="O816" s="8">
        <f>DATE(2024,8,31)</f>
        <v>45535</v>
      </c>
      <c r="P816" s="1">
        <v>1200</v>
      </c>
      <c r="Q816" s="1">
        <v>800</v>
      </c>
      <c r="R816" s="1">
        <f t="shared" si="250"/>
        <v>800</v>
      </c>
      <c r="S816" s="1">
        <v>1.5</v>
      </c>
      <c r="U816" s="1">
        <f t="shared" si="251"/>
        <v>517</v>
      </c>
      <c r="V816" s="7">
        <f t="shared" si="252"/>
        <v>1.5473887814313345</v>
      </c>
      <c r="W816" s="7">
        <f t="shared" si="253"/>
        <v>564.79690522243709</v>
      </c>
      <c r="X816" s="7">
        <f t="shared" si="254"/>
        <v>0.70599613152804641</v>
      </c>
      <c r="AA816" s="8">
        <f t="shared" si="255"/>
        <v>44927</v>
      </c>
      <c r="AB816" s="8">
        <f t="shared" si="256"/>
        <v>45291</v>
      </c>
      <c r="AC816" s="1">
        <v>28</v>
      </c>
      <c r="AD816" s="1">
        <f t="shared" si="257"/>
        <v>0</v>
      </c>
      <c r="AE816" s="1">
        <f t="shared" si="258"/>
        <v>273</v>
      </c>
      <c r="AF816" s="1">
        <f t="shared" si="259"/>
        <v>0</v>
      </c>
      <c r="AG816" s="1">
        <f t="shared" si="260"/>
        <v>0</v>
      </c>
      <c r="AH816" s="1">
        <f t="shared" si="261"/>
        <v>0</v>
      </c>
      <c r="AI816" s="5">
        <f t="shared" si="262"/>
        <v>0.74794520547945209</v>
      </c>
      <c r="AJ816" s="5">
        <f t="shared" si="263"/>
        <v>0.52804642166344296</v>
      </c>
      <c r="AK816" s="5">
        <f t="shared" si="264"/>
        <v>14.785299806576402</v>
      </c>
      <c r="AL816" s="5">
        <f t="shared" si="265"/>
        <v>22.177949709864603</v>
      </c>
      <c r="AM816" s="5">
        <f t="shared" si="266"/>
        <v>0</v>
      </c>
      <c r="AN816" s="5">
        <f t="shared" si="267"/>
        <v>22.177949709864603</v>
      </c>
      <c r="AO816" s="1" t="s">
        <v>122</v>
      </c>
    </row>
    <row r="817" spans="1:41" x14ac:dyDescent="0.25">
      <c r="A817" s="1" t="s">
        <v>19</v>
      </c>
      <c r="B817" s="1" t="s">
        <v>37</v>
      </c>
      <c r="C817" s="1" t="s">
        <v>21</v>
      </c>
      <c r="D817" s="1" t="s">
        <v>39</v>
      </c>
      <c r="E817" s="1" t="s">
        <v>172</v>
      </c>
      <c r="F817" s="1" t="s">
        <v>103</v>
      </c>
      <c r="G817" s="1" t="s">
        <v>114</v>
      </c>
      <c r="H817" s="1" t="s">
        <v>177</v>
      </c>
      <c r="I817" s="1" t="s">
        <v>174</v>
      </c>
      <c r="J817" s="1" t="s">
        <v>101</v>
      </c>
      <c r="K817" s="1" t="s">
        <v>175</v>
      </c>
      <c r="L817" s="1">
        <v>2958258</v>
      </c>
      <c r="M817" s="1" t="s">
        <v>178</v>
      </c>
      <c r="N817" s="8">
        <f>DATE(2023,4,3)</f>
        <v>45019</v>
      </c>
      <c r="O817" s="8">
        <f>DATE(2024,8,31)</f>
        <v>45535</v>
      </c>
      <c r="P817" s="1">
        <v>1200</v>
      </c>
      <c r="Q817" s="1">
        <v>1200</v>
      </c>
      <c r="R817" s="1">
        <f t="shared" si="250"/>
        <v>1200</v>
      </c>
      <c r="S817" s="1">
        <v>1</v>
      </c>
      <c r="U817" s="1">
        <f t="shared" si="251"/>
        <v>517</v>
      </c>
      <c r="V817" s="7">
        <f t="shared" si="252"/>
        <v>2.3210831721470018</v>
      </c>
      <c r="W817" s="7">
        <f t="shared" si="253"/>
        <v>847.19535783365563</v>
      </c>
      <c r="X817" s="7">
        <f t="shared" si="254"/>
        <v>1.0589941972920696</v>
      </c>
      <c r="AA817" s="8">
        <f t="shared" si="255"/>
        <v>44927</v>
      </c>
      <c r="AB817" s="8">
        <f t="shared" si="256"/>
        <v>45291</v>
      </c>
      <c r="AC817" s="1">
        <v>82</v>
      </c>
      <c r="AD817" s="1">
        <f t="shared" si="257"/>
        <v>0</v>
      </c>
      <c r="AE817" s="1">
        <f t="shared" si="258"/>
        <v>273</v>
      </c>
      <c r="AF817" s="1">
        <f t="shared" si="259"/>
        <v>0</v>
      </c>
      <c r="AG817" s="1">
        <f t="shared" si="260"/>
        <v>0</v>
      </c>
      <c r="AH817" s="1">
        <f t="shared" si="261"/>
        <v>0</v>
      </c>
      <c r="AI817" s="5">
        <f t="shared" si="262"/>
        <v>0.74794520547945209</v>
      </c>
      <c r="AJ817" s="5">
        <f t="shared" si="263"/>
        <v>0.79206963249516438</v>
      </c>
      <c r="AK817" s="5">
        <f t="shared" si="264"/>
        <v>64.949709864603477</v>
      </c>
      <c r="AL817" s="5">
        <f t="shared" si="265"/>
        <v>64.949709864603477</v>
      </c>
      <c r="AM817" s="5">
        <f t="shared" si="266"/>
        <v>0</v>
      </c>
      <c r="AN817" s="5">
        <f t="shared" si="267"/>
        <v>64.949709864603477</v>
      </c>
      <c r="AO817" s="1" t="s">
        <v>122</v>
      </c>
    </row>
    <row r="818" spans="1:41" x14ac:dyDescent="0.25">
      <c r="A818" s="1" t="s">
        <v>19</v>
      </c>
      <c r="B818" s="1" t="s">
        <v>37</v>
      </c>
      <c r="C818" s="1" t="s">
        <v>21</v>
      </c>
      <c r="D818" s="1" t="s">
        <v>39</v>
      </c>
      <c r="E818" s="1" t="s">
        <v>96</v>
      </c>
      <c r="F818" s="1" t="s">
        <v>103</v>
      </c>
      <c r="G818" s="1" t="s">
        <v>634</v>
      </c>
      <c r="H818" s="1" t="s">
        <v>937</v>
      </c>
      <c r="I818" s="1" t="s">
        <v>157</v>
      </c>
      <c r="J818" s="1" t="s">
        <v>101</v>
      </c>
      <c r="L818" s="1">
        <v>2991155</v>
      </c>
      <c r="M818" s="1" t="s">
        <v>990</v>
      </c>
      <c r="N818" s="8">
        <f>DATE(2023,4,27)</f>
        <v>45043</v>
      </c>
      <c r="O818" s="8">
        <f>DATE(2025,4,27)</f>
        <v>45774</v>
      </c>
      <c r="P818" s="1">
        <v>360</v>
      </c>
      <c r="Q818" s="1">
        <v>360</v>
      </c>
      <c r="R818" s="1">
        <f t="shared" si="250"/>
        <v>360</v>
      </c>
      <c r="S818" s="1">
        <v>3.75</v>
      </c>
      <c r="U818" s="1">
        <f t="shared" si="251"/>
        <v>732</v>
      </c>
      <c r="V818" s="7">
        <f t="shared" si="252"/>
        <v>0.49180327868852458</v>
      </c>
      <c r="W818" s="7">
        <f t="shared" si="253"/>
        <v>179.50819672131146</v>
      </c>
      <c r="X818" s="7">
        <f t="shared" si="254"/>
        <v>0.22438524590163933</v>
      </c>
      <c r="AA818" s="8">
        <f t="shared" si="255"/>
        <v>44927</v>
      </c>
      <c r="AB818" s="8">
        <f t="shared" si="256"/>
        <v>45291</v>
      </c>
      <c r="AC818" s="1">
        <v>9</v>
      </c>
      <c r="AD818" s="1">
        <f t="shared" si="257"/>
        <v>0</v>
      </c>
      <c r="AE818" s="1">
        <f t="shared" si="258"/>
        <v>249</v>
      </c>
      <c r="AF818" s="1">
        <f t="shared" si="259"/>
        <v>0</v>
      </c>
      <c r="AG818" s="1">
        <f t="shared" si="260"/>
        <v>0</v>
      </c>
      <c r="AH818" s="1">
        <f t="shared" si="261"/>
        <v>0</v>
      </c>
      <c r="AI818" s="5">
        <f t="shared" si="262"/>
        <v>0.68219178082191778</v>
      </c>
      <c r="AJ818" s="5">
        <f t="shared" si="263"/>
        <v>0.15307377049180326</v>
      </c>
      <c r="AK818" s="5">
        <f t="shared" si="264"/>
        <v>1.3776639344262294</v>
      </c>
      <c r="AL818" s="5">
        <f t="shared" si="265"/>
        <v>5.1662397540983598</v>
      </c>
      <c r="AM818" s="5">
        <f t="shared" si="266"/>
        <v>0</v>
      </c>
      <c r="AN818" s="5">
        <f t="shared" si="267"/>
        <v>5.1662397540983598</v>
      </c>
      <c r="AO818" s="1" t="s">
        <v>102</v>
      </c>
    </row>
    <row r="819" spans="1:41" x14ac:dyDescent="0.25">
      <c r="A819" s="1" t="s">
        <v>19</v>
      </c>
      <c r="B819" s="1" t="s">
        <v>37</v>
      </c>
      <c r="C819" s="1" t="s">
        <v>21</v>
      </c>
      <c r="D819" s="1" t="s">
        <v>39</v>
      </c>
      <c r="E819" s="1" t="s">
        <v>172</v>
      </c>
      <c r="F819" s="1" t="s">
        <v>534</v>
      </c>
      <c r="G819" s="1" t="s">
        <v>320</v>
      </c>
      <c r="H819" s="1" t="s">
        <v>353</v>
      </c>
      <c r="I819" s="1" t="s">
        <v>174</v>
      </c>
      <c r="J819" s="1" t="s">
        <v>101</v>
      </c>
      <c r="L819" s="1">
        <v>3010761</v>
      </c>
      <c r="M819" s="1" t="s">
        <v>991</v>
      </c>
      <c r="N819" s="8">
        <f t="shared" ref="N819:N829" si="275">DATE(2023,6,5)</f>
        <v>45082</v>
      </c>
      <c r="O819" s="8">
        <f>DATE(2027,6,5)</f>
        <v>46543</v>
      </c>
      <c r="P819" s="1">
        <v>3500</v>
      </c>
      <c r="Q819" s="1">
        <v>3200</v>
      </c>
      <c r="R819" s="1">
        <f t="shared" si="250"/>
        <v>3200</v>
      </c>
      <c r="S819" s="1">
        <v>2.5</v>
      </c>
      <c r="U819" s="1">
        <f t="shared" si="251"/>
        <v>1462</v>
      </c>
      <c r="V819" s="7">
        <f t="shared" si="252"/>
        <v>2.188782489740082</v>
      </c>
      <c r="W819" s="7">
        <f t="shared" si="253"/>
        <v>798.90560875512995</v>
      </c>
      <c r="X819" s="7">
        <f t="shared" si="254"/>
        <v>0.99863201094391241</v>
      </c>
      <c r="AA819" s="8">
        <f t="shared" si="255"/>
        <v>44927</v>
      </c>
      <c r="AB819" s="8">
        <f t="shared" si="256"/>
        <v>45291</v>
      </c>
      <c r="AC819" s="1">
        <v>44</v>
      </c>
      <c r="AD819" s="1">
        <f t="shared" si="257"/>
        <v>0</v>
      </c>
      <c r="AE819" s="1">
        <f t="shared" si="258"/>
        <v>210</v>
      </c>
      <c r="AF819" s="1">
        <f t="shared" si="259"/>
        <v>0</v>
      </c>
      <c r="AG819" s="1">
        <f t="shared" si="260"/>
        <v>0</v>
      </c>
      <c r="AH819" s="1">
        <f t="shared" si="261"/>
        <v>0</v>
      </c>
      <c r="AI819" s="5">
        <f t="shared" si="262"/>
        <v>0.57534246575342463</v>
      </c>
      <c r="AJ819" s="5">
        <f t="shared" si="263"/>
        <v>0.57455540355677148</v>
      </c>
      <c r="AK819" s="5">
        <f t="shared" si="264"/>
        <v>25.280437756497946</v>
      </c>
      <c r="AL819" s="5">
        <f t="shared" si="265"/>
        <v>63.201094391244865</v>
      </c>
      <c r="AM819" s="5">
        <f t="shared" si="266"/>
        <v>0</v>
      </c>
      <c r="AN819" s="5">
        <f t="shared" si="267"/>
        <v>63.201094391244865</v>
      </c>
      <c r="AO819" s="1" t="s">
        <v>111</v>
      </c>
    </row>
    <row r="820" spans="1:41" x14ac:dyDescent="0.25">
      <c r="A820" s="1" t="s">
        <v>19</v>
      </c>
      <c r="B820" s="1" t="s">
        <v>37</v>
      </c>
      <c r="C820" s="1" t="s">
        <v>21</v>
      </c>
      <c r="D820" s="1" t="s">
        <v>39</v>
      </c>
      <c r="E820" s="1" t="s">
        <v>172</v>
      </c>
      <c r="F820" s="1" t="s">
        <v>534</v>
      </c>
      <c r="G820" s="1" t="s">
        <v>320</v>
      </c>
      <c r="H820" s="1" t="s">
        <v>353</v>
      </c>
      <c r="I820" s="1" t="s">
        <v>174</v>
      </c>
      <c r="J820" s="1" t="s">
        <v>101</v>
      </c>
      <c r="L820" s="1">
        <v>3010814</v>
      </c>
      <c r="M820" s="1" t="s">
        <v>992</v>
      </c>
      <c r="N820" s="8">
        <f t="shared" si="275"/>
        <v>45082</v>
      </c>
      <c r="O820" s="8">
        <f>DATE(2027,7,5)</f>
        <v>46573</v>
      </c>
      <c r="P820" s="1">
        <v>3500</v>
      </c>
      <c r="Q820" s="1">
        <v>3200</v>
      </c>
      <c r="R820" s="1">
        <f t="shared" si="250"/>
        <v>3200</v>
      </c>
      <c r="S820" s="1">
        <v>2.5</v>
      </c>
      <c r="U820" s="1">
        <f t="shared" si="251"/>
        <v>1492</v>
      </c>
      <c r="V820" s="7">
        <f t="shared" si="252"/>
        <v>2.1447721179624666</v>
      </c>
      <c r="W820" s="7">
        <f t="shared" si="253"/>
        <v>782.84182305630031</v>
      </c>
      <c r="X820" s="7">
        <f t="shared" si="254"/>
        <v>0.97855227882037543</v>
      </c>
      <c r="AA820" s="8">
        <f t="shared" si="255"/>
        <v>44927</v>
      </c>
      <c r="AB820" s="8">
        <f t="shared" si="256"/>
        <v>45291</v>
      </c>
      <c r="AC820" s="1">
        <v>26</v>
      </c>
      <c r="AD820" s="1">
        <f t="shared" si="257"/>
        <v>0</v>
      </c>
      <c r="AE820" s="1">
        <f t="shared" si="258"/>
        <v>210</v>
      </c>
      <c r="AF820" s="1">
        <f t="shared" si="259"/>
        <v>0</v>
      </c>
      <c r="AG820" s="1">
        <f t="shared" si="260"/>
        <v>0</v>
      </c>
      <c r="AH820" s="1">
        <f t="shared" si="261"/>
        <v>0</v>
      </c>
      <c r="AI820" s="5">
        <f t="shared" si="262"/>
        <v>0.57534246575342463</v>
      </c>
      <c r="AJ820" s="5">
        <f t="shared" si="263"/>
        <v>0.5630026809651475</v>
      </c>
      <c r="AK820" s="5">
        <f t="shared" si="264"/>
        <v>14.638069705093836</v>
      </c>
      <c r="AL820" s="5">
        <f t="shared" si="265"/>
        <v>36.595174262734588</v>
      </c>
      <c r="AM820" s="5">
        <f t="shared" si="266"/>
        <v>0</v>
      </c>
      <c r="AN820" s="5">
        <f t="shared" si="267"/>
        <v>36.595174262734588</v>
      </c>
      <c r="AO820" s="1" t="s">
        <v>111</v>
      </c>
    </row>
    <row r="821" spans="1:41" x14ac:dyDescent="0.25">
      <c r="A821" s="1" t="s">
        <v>19</v>
      </c>
      <c r="B821" s="1" t="s">
        <v>37</v>
      </c>
      <c r="C821" s="1" t="s">
        <v>21</v>
      </c>
      <c r="D821" s="1" t="s">
        <v>39</v>
      </c>
      <c r="E821" s="1" t="s">
        <v>172</v>
      </c>
      <c r="F821" s="1" t="s">
        <v>534</v>
      </c>
      <c r="G821" s="1" t="s">
        <v>320</v>
      </c>
      <c r="H821" s="1" t="s">
        <v>353</v>
      </c>
      <c r="I821" s="1" t="s">
        <v>174</v>
      </c>
      <c r="J821" s="1" t="s">
        <v>101</v>
      </c>
      <c r="L821" s="1">
        <v>3010836</v>
      </c>
      <c r="M821" s="1" t="s">
        <v>991</v>
      </c>
      <c r="N821" s="8">
        <f t="shared" si="275"/>
        <v>45082</v>
      </c>
      <c r="O821" s="8">
        <f>DATE(2027,6,5)</f>
        <v>46543</v>
      </c>
      <c r="P821" s="1">
        <v>3500</v>
      </c>
      <c r="Q821" s="1">
        <v>3200</v>
      </c>
      <c r="R821" s="1">
        <f t="shared" si="250"/>
        <v>3200</v>
      </c>
      <c r="S821" s="1">
        <v>2.5</v>
      </c>
      <c r="U821" s="1">
        <f t="shared" si="251"/>
        <v>1462</v>
      </c>
      <c r="V821" s="7">
        <f t="shared" si="252"/>
        <v>2.188782489740082</v>
      </c>
      <c r="W821" s="7">
        <f t="shared" si="253"/>
        <v>798.90560875512995</v>
      </c>
      <c r="X821" s="7">
        <f t="shared" si="254"/>
        <v>0.99863201094391241</v>
      </c>
      <c r="AA821" s="8">
        <f t="shared" si="255"/>
        <v>44927</v>
      </c>
      <c r="AB821" s="8">
        <f t="shared" si="256"/>
        <v>45291</v>
      </c>
      <c r="AC821" s="1">
        <v>29</v>
      </c>
      <c r="AD821" s="1">
        <f t="shared" si="257"/>
        <v>0</v>
      </c>
      <c r="AE821" s="1">
        <f t="shared" si="258"/>
        <v>210</v>
      </c>
      <c r="AF821" s="1">
        <f t="shared" si="259"/>
        <v>0</v>
      </c>
      <c r="AG821" s="1">
        <f t="shared" si="260"/>
        <v>0</v>
      </c>
      <c r="AH821" s="1">
        <f t="shared" si="261"/>
        <v>0</v>
      </c>
      <c r="AI821" s="5">
        <f t="shared" si="262"/>
        <v>0.57534246575342463</v>
      </c>
      <c r="AJ821" s="5">
        <f t="shared" si="263"/>
        <v>0.57455540355677148</v>
      </c>
      <c r="AK821" s="5">
        <f t="shared" si="264"/>
        <v>16.662106703146375</v>
      </c>
      <c r="AL821" s="5">
        <f t="shared" si="265"/>
        <v>41.655266757865938</v>
      </c>
      <c r="AM821" s="5">
        <f t="shared" si="266"/>
        <v>0</v>
      </c>
      <c r="AN821" s="5">
        <f t="shared" si="267"/>
        <v>41.655266757865938</v>
      </c>
      <c r="AO821" s="1" t="s">
        <v>111</v>
      </c>
    </row>
    <row r="822" spans="1:41" x14ac:dyDescent="0.25">
      <c r="A822" s="1" t="s">
        <v>19</v>
      </c>
      <c r="B822" s="1" t="s">
        <v>37</v>
      </c>
      <c r="C822" s="1" t="s">
        <v>21</v>
      </c>
      <c r="D822" s="1" t="s">
        <v>39</v>
      </c>
      <c r="E822" s="1" t="s">
        <v>172</v>
      </c>
      <c r="F822" s="1" t="s">
        <v>534</v>
      </c>
      <c r="G822" s="1" t="s">
        <v>320</v>
      </c>
      <c r="H822" s="1" t="s">
        <v>353</v>
      </c>
      <c r="I822" s="1" t="s">
        <v>174</v>
      </c>
      <c r="J822" s="1" t="s">
        <v>101</v>
      </c>
      <c r="L822" s="1">
        <v>3010862</v>
      </c>
      <c r="M822" s="1" t="s">
        <v>992</v>
      </c>
      <c r="N822" s="8">
        <f t="shared" si="275"/>
        <v>45082</v>
      </c>
      <c r="O822" s="8">
        <f>DATE(2027,7,5)</f>
        <v>46573</v>
      </c>
      <c r="P822" s="1">
        <v>3500</v>
      </c>
      <c r="Q822" s="1">
        <v>3200</v>
      </c>
      <c r="R822" s="1">
        <f t="shared" si="250"/>
        <v>3200</v>
      </c>
      <c r="S822" s="1">
        <v>2.5</v>
      </c>
      <c r="U822" s="1">
        <f t="shared" si="251"/>
        <v>1492</v>
      </c>
      <c r="V822" s="7">
        <f t="shared" si="252"/>
        <v>2.1447721179624666</v>
      </c>
      <c r="W822" s="7">
        <f t="shared" si="253"/>
        <v>782.84182305630031</v>
      </c>
      <c r="X822" s="7">
        <f t="shared" si="254"/>
        <v>0.97855227882037543</v>
      </c>
      <c r="AA822" s="8">
        <f t="shared" si="255"/>
        <v>44927</v>
      </c>
      <c r="AB822" s="8">
        <f t="shared" si="256"/>
        <v>45291</v>
      </c>
      <c r="AC822" s="1">
        <v>24</v>
      </c>
      <c r="AD822" s="1">
        <f t="shared" si="257"/>
        <v>0</v>
      </c>
      <c r="AE822" s="1">
        <f t="shared" si="258"/>
        <v>210</v>
      </c>
      <c r="AF822" s="1">
        <f t="shared" si="259"/>
        <v>0</v>
      </c>
      <c r="AG822" s="1">
        <f t="shared" si="260"/>
        <v>0</v>
      </c>
      <c r="AH822" s="1">
        <f t="shared" si="261"/>
        <v>0</v>
      </c>
      <c r="AI822" s="5">
        <f t="shared" si="262"/>
        <v>0.57534246575342463</v>
      </c>
      <c r="AJ822" s="5">
        <f t="shared" si="263"/>
        <v>0.5630026809651475</v>
      </c>
      <c r="AK822" s="5">
        <f t="shared" si="264"/>
        <v>13.512064343163541</v>
      </c>
      <c r="AL822" s="5">
        <f t="shared" si="265"/>
        <v>33.780160857908854</v>
      </c>
      <c r="AM822" s="5">
        <f t="shared" si="266"/>
        <v>0</v>
      </c>
      <c r="AN822" s="5">
        <f t="shared" si="267"/>
        <v>33.780160857908854</v>
      </c>
      <c r="AO822" s="1" t="s">
        <v>111</v>
      </c>
    </row>
    <row r="823" spans="1:41" x14ac:dyDescent="0.25">
      <c r="A823" s="1" t="s">
        <v>19</v>
      </c>
      <c r="B823" s="1" t="s">
        <v>37</v>
      </c>
      <c r="C823" s="1" t="s">
        <v>21</v>
      </c>
      <c r="D823" s="1" t="s">
        <v>39</v>
      </c>
      <c r="E823" s="1" t="s">
        <v>172</v>
      </c>
      <c r="F823" s="1" t="s">
        <v>534</v>
      </c>
      <c r="G823" s="1" t="s">
        <v>320</v>
      </c>
      <c r="H823" s="1" t="s">
        <v>353</v>
      </c>
      <c r="I823" s="1" t="s">
        <v>174</v>
      </c>
      <c r="J823" s="1" t="s">
        <v>101</v>
      </c>
      <c r="L823" s="1">
        <v>3010875</v>
      </c>
      <c r="M823" s="1" t="s">
        <v>992</v>
      </c>
      <c r="N823" s="8">
        <f t="shared" si="275"/>
        <v>45082</v>
      </c>
      <c r="O823" s="8">
        <f>DATE(2027,7,5)</f>
        <v>46573</v>
      </c>
      <c r="P823" s="1">
        <v>3500</v>
      </c>
      <c r="Q823" s="1">
        <v>3200</v>
      </c>
      <c r="R823" s="1">
        <f t="shared" si="250"/>
        <v>3200</v>
      </c>
      <c r="S823" s="1">
        <v>2.5</v>
      </c>
      <c r="U823" s="1">
        <f t="shared" si="251"/>
        <v>1492</v>
      </c>
      <c r="V823" s="7">
        <f t="shared" si="252"/>
        <v>2.1447721179624666</v>
      </c>
      <c r="W823" s="7">
        <f t="shared" si="253"/>
        <v>782.84182305630031</v>
      </c>
      <c r="X823" s="7">
        <f t="shared" si="254"/>
        <v>0.97855227882037543</v>
      </c>
      <c r="AA823" s="8">
        <f t="shared" si="255"/>
        <v>44927</v>
      </c>
      <c r="AB823" s="8">
        <f t="shared" si="256"/>
        <v>45291</v>
      </c>
      <c r="AC823" s="1">
        <v>25</v>
      </c>
      <c r="AD823" s="1">
        <f t="shared" si="257"/>
        <v>0</v>
      </c>
      <c r="AE823" s="1">
        <f t="shared" si="258"/>
        <v>210</v>
      </c>
      <c r="AF823" s="1">
        <f t="shared" si="259"/>
        <v>0</v>
      </c>
      <c r="AG823" s="1">
        <f t="shared" si="260"/>
        <v>0</v>
      </c>
      <c r="AH823" s="1">
        <f t="shared" si="261"/>
        <v>0</v>
      </c>
      <c r="AI823" s="5">
        <f t="shared" si="262"/>
        <v>0.57534246575342463</v>
      </c>
      <c r="AJ823" s="5">
        <f t="shared" si="263"/>
        <v>0.5630026809651475</v>
      </c>
      <c r="AK823" s="5">
        <f t="shared" si="264"/>
        <v>14.075067024128687</v>
      </c>
      <c r="AL823" s="5">
        <f t="shared" si="265"/>
        <v>35.187667560321721</v>
      </c>
      <c r="AM823" s="5">
        <f t="shared" si="266"/>
        <v>0</v>
      </c>
      <c r="AN823" s="5">
        <f t="shared" si="267"/>
        <v>35.187667560321721</v>
      </c>
      <c r="AO823" s="1" t="s">
        <v>111</v>
      </c>
    </row>
    <row r="824" spans="1:41" x14ac:dyDescent="0.25">
      <c r="A824" s="1" t="s">
        <v>19</v>
      </c>
      <c r="B824" s="1" t="s">
        <v>37</v>
      </c>
      <c r="C824" s="1" t="s">
        <v>21</v>
      </c>
      <c r="D824" s="1" t="s">
        <v>39</v>
      </c>
      <c r="E824" s="1" t="s">
        <v>172</v>
      </c>
      <c r="F824" s="1" t="s">
        <v>534</v>
      </c>
      <c r="G824" s="1" t="s">
        <v>320</v>
      </c>
      <c r="H824" s="1" t="s">
        <v>321</v>
      </c>
      <c r="I824" s="1" t="s">
        <v>174</v>
      </c>
      <c r="J824" s="1" t="s">
        <v>101</v>
      </c>
      <c r="L824" s="1">
        <v>3011145</v>
      </c>
      <c r="M824" s="1" t="s">
        <v>993</v>
      </c>
      <c r="N824" s="8">
        <f t="shared" si="275"/>
        <v>45082</v>
      </c>
      <c r="O824" s="8">
        <f>DATE(2027,6,5)</f>
        <v>46543</v>
      </c>
      <c r="P824" s="1">
        <v>3470</v>
      </c>
      <c r="Q824" s="1">
        <v>3200</v>
      </c>
      <c r="R824" s="1">
        <f t="shared" si="250"/>
        <v>3200</v>
      </c>
      <c r="S824" s="1">
        <v>2.5</v>
      </c>
      <c r="U824" s="1">
        <f t="shared" si="251"/>
        <v>1462</v>
      </c>
      <c r="V824" s="7">
        <f t="shared" si="252"/>
        <v>2.188782489740082</v>
      </c>
      <c r="W824" s="7">
        <f t="shared" si="253"/>
        <v>798.90560875512995</v>
      </c>
      <c r="X824" s="7">
        <f t="shared" si="254"/>
        <v>0.99863201094391241</v>
      </c>
      <c r="AA824" s="8">
        <f t="shared" si="255"/>
        <v>44927</v>
      </c>
      <c r="AB824" s="8">
        <f t="shared" si="256"/>
        <v>45291</v>
      </c>
      <c r="AC824" s="1">
        <v>39</v>
      </c>
      <c r="AD824" s="1">
        <f t="shared" si="257"/>
        <v>0</v>
      </c>
      <c r="AE824" s="1">
        <f t="shared" si="258"/>
        <v>210</v>
      </c>
      <c r="AF824" s="1">
        <f t="shared" si="259"/>
        <v>0</v>
      </c>
      <c r="AG824" s="1">
        <f t="shared" si="260"/>
        <v>0</v>
      </c>
      <c r="AH824" s="1">
        <f t="shared" si="261"/>
        <v>0</v>
      </c>
      <c r="AI824" s="5">
        <f t="shared" si="262"/>
        <v>0.57534246575342463</v>
      </c>
      <c r="AJ824" s="5">
        <f t="shared" si="263"/>
        <v>0.57455540355677148</v>
      </c>
      <c r="AK824" s="5">
        <f t="shared" si="264"/>
        <v>22.407660738714089</v>
      </c>
      <c r="AL824" s="5">
        <f t="shared" si="265"/>
        <v>56.019151846785221</v>
      </c>
      <c r="AM824" s="5">
        <f t="shared" si="266"/>
        <v>0</v>
      </c>
      <c r="AN824" s="5">
        <f t="shared" si="267"/>
        <v>56.019151846785221</v>
      </c>
      <c r="AO824" s="1" t="s">
        <v>111</v>
      </c>
    </row>
    <row r="825" spans="1:41" x14ac:dyDescent="0.25">
      <c r="A825" s="1" t="s">
        <v>19</v>
      </c>
      <c r="B825" s="1" t="s">
        <v>37</v>
      </c>
      <c r="C825" s="1" t="s">
        <v>21</v>
      </c>
      <c r="D825" s="1" t="s">
        <v>39</v>
      </c>
      <c r="E825" s="1" t="s">
        <v>172</v>
      </c>
      <c r="F825" s="1" t="s">
        <v>534</v>
      </c>
      <c r="G825" s="1" t="s">
        <v>320</v>
      </c>
      <c r="H825" s="1" t="s">
        <v>321</v>
      </c>
      <c r="I825" s="1" t="s">
        <v>174</v>
      </c>
      <c r="J825" s="1" t="s">
        <v>101</v>
      </c>
      <c r="L825" s="1">
        <v>3011212</v>
      </c>
      <c r="M825" s="1" t="s">
        <v>994</v>
      </c>
      <c r="N825" s="8">
        <f t="shared" si="275"/>
        <v>45082</v>
      </c>
      <c r="O825" s="8">
        <f>DATE(2027,7,5)</f>
        <v>46573</v>
      </c>
      <c r="P825" s="1">
        <v>3470</v>
      </c>
      <c r="Q825" s="1">
        <v>3200</v>
      </c>
      <c r="R825" s="1">
        <f t="shared" si="250"/>
        <v>3200</v>
      </c>
      <c r="S825" s="1">
        <v>2.5</v>
      </c>
      <c r="U825" s="1">
        <f t="shared" si="251"/>
        <v>1492</v>
      </c>
      <c r="V825" s="7">
        <f t="shared" si="252"/>
        <v>2.1447721179624666</v>
      </c>
      <c r="W825" s="7">
        <f t="shared" si="253"/>
        <v>782.84182305630031</v>
      </c>
      <c r="X825" s="7">
        <f t="shared" si="254"/>
        <v>0.97855227882037543</v>
      </c>
      <c r="AA825" s="8">
        <f t="shared" si="255"/>
        <v>44927</v>
      </c>
      <c r="AB825" s="8">
        <f t="shared" si="256"/>
        <v>45291</v>
      </c>
      <c r="AC825" s="1">
        <v>16</v>
      </c>
      <c r="AD825" s="1">
        <f t="shared" si="257"/>
        <v>0</v>
      </c>
      <c r="AE825" s="1">
        <f t="shared" si="258"/>
        <v>210</v>
      </c>
      <c r="AF825" s="1">
        <f t="shared" si="259"/>
        <v>0</v>
      </c>
      <c r="AG825" s="1">
        <f t="shared" si="260"/>
        <v>0</v>
      </c>
      <c r="AH825" s="1">
        <f t="shared" si="261"/>
        <v>0</v>
      </c>
      <c r="AI825" s="5">
        <f t="shared" si="262"/>
        <v>0.57534246575342463</v>
      </c>
      <c r="AJ825" s="5">
        <f t="shared" si="263"/>
        <v>0.5630026809651475</v>
      </c>
      <c r="AK825" s="5">
        <f t="shared" si="264"/>
        <v>9.0080428954423599</v>
      </c>
      <c r="AL825" s="5">
        <f t="shared" si="265"/>
        <v>22.520107238605899</v>
      </c>
      <c r="AM825" s="5">
        <f t="shared" si="266"/>
        <v>0</v>
      </c>
      <c r="AN825" s="5">
        <f t="shared" si="267"/>
        <v>22.520107238605899</v>
      </c>
      <c r="AO825" s="1" t="s">
        <v>111</v>
      </c>
    </row>
    <row r="826" spans="1:41" x14ac:dyDescent="0.25">
      <c r="A826" s="1" t="s">
        <v>19</v>
      </c>
      <c r="B826" s="1" t="s">
        <v>37</v>
      </c>
      <c r="C826" s="1" t="s">
        <v>21</v>
      </c>
      <c r="D826" s="1" t="s">
        <v>39</v>
      </c>
      <c r="E826" s="1" t="s">
        <v>172</v>
      </c>
      <c r="F826" s="1" t="s">
        <v>534</v>
      </c>
      <c r="G826" s="1" t="s">
        <v>320</v>
      </c>
      <c r="H826" s="1" t="s">
        <v>321</v>
      </c>
      <c r="I826" s="1" t="s">
        <v>174</v>
      </c>
      <c r="J826" s="1" t="s">
        <v>101</v>
      </c>
      <c r="L826" s="1">
        <v>3011249</v>
      </c>
      <c r="M826" s="1" t="s">
        <v>993</v>
      </c>
      <c r="N826" s="8">
        <f t="shared" si="275"/>
        <v>45082</v>
      </c>
      <c r="O826" s="8">
        <f>DATE(2027,6,5)</f>
        <v>46543</v>
      </c>
      <c r="P826" s="1">
        <v>3470</v>
      </c>
      <c r="Q826" s="1">
        <v>3200</v>
      </c>
      <c r="R826" s="1">
        <f t="shared" si="250"/>
        <v>3200</v>
      </c>
      <c r="S826" s="1">
        <v>2.5</v>
      </c>
      <c r="U826" s="1">
        <f t="shared" si="251"/>
        <v>1462</v>
      </c>
      <c r="V826" s="7">
        <f t="shared" si="252"/>
        <v>2.188782489740082</v>
      </c>
      <c r="W826" s="7">
        <f t="shared" si="253"/>
        <v>798.90560875512995</v>
      </c>
      <c r="X826" s="7">
        <f t="shared" si="254"/>
        <v>0.99863201094391241</v>
      </c>
      <c r="AA826" s="8">
        <f t="shared" si="255"/>
        <v>44927</v>
      </c>
      <c r="AB826" s="8">
        <f t="shared" si="256"/>
        <v>45291</v>
      </c>
      <c r="AC826" s="1">
        <v>12</v>
      </c>
      <c r="AD826" s="1">
        <f t="shared" si="257"/>
        <v>0</v>
      </c>
      <c r="AE826" s="1">
        <f t="shared" si="258"/>
        <v>210</v>
      </c>
      <c r="AF826" s="1">
        <f t="shared" si="259"/>
        <v>0</v>
      </c>
      <c r="AG826" s="1">
        <f t="shared" si="260"/>
        <v>0</v>
      </c>
      <c r="AH826" s="1">
        <f t="shared" si="261"/>
        <v>0</v>
      </c>
      <c r="AI826" s="5">
        <f t="shared" si="262"/>
        <v>0.57534246575342463</v>
      </c>
      <c r="AJ826" s="5">
        <f t="shared" si="263"/>
        <v>0.57455540355677148</v>
      </c>
      <c r="AK826" s="5">
        <f t="shared" si="264"/>
        <v>6.8946648426812578</v>
      </c>
      <c r="AL826" s="5">
        <f t="shared" si="265"/>
        <v>17.236662106703143</v>
      </c>
      <c r="AM826" s="5">
        <f t="shared" si="266"/>
        <v>0</v>
      </c>
      <c r="AN826" s="5">
        <f t="shared" si="267"/>
        <v>17.236662106703143</v>
      </c>
      <c r="AO826" s="1" t="s">
        <v>111</v>
      </c>
    </row>
    <row r="827" spans="1:41" x14ac:dyDescent="0.25">
      <c r="A827" s="1" t="s">
        <v>19</v>
      </c>
      <c r="B827" s="1" t="s">
        <v>37</v>
      </c>
      <c r="C827" s="1" t="s">
        <v>21</v>
      </c>
      <c r="D827" s="1" t="s">
        <v>39</v>
      </c>
      <c r="E827" s="1" t="s">
        <v>172</v>
      </c>
      <c r="F827" s="1" t="s">
        <v>534</v>
      </c>
      <c r="G827" s="1" t="s">
        <v>320</v>
      </c>
      <c r="H827" s="1" t="s">
        <v>321</v>
      </c>
      <c r="I827" s="1" t="s">
        <v>174</v>
      </c>
      <c r="J827" s="1" t="s">
        <v>101</v>
      </c>
      <c r="L827" s="1">
        <v>3011583</v>
      </c>
      <c r="M827" s="1" t="s">
        <v>994</v>
      </c>
      <c r="N827" s="8">
        <f t="shared" si="275"/>
        <v>45082</v>
      </c>
      <c r="O827" s="8">
        <f>DATE(2027,7,5)</f>
        <v>46573</v>
      </c>
      <c r="P827" s="1">
        <v>3470</v>
      </c>
      <c r="Q827" s="1">
        <v>3200</v>
      </c>
      <c r="R827" s="1">
        <f t="shared" ref="R827:R889" si="276">IF(OR(G827="QUALIFICACAO PROFISSIONAL (FIC)",G827="DOUTORADO"),P827,
    IF(ISNUMBER(FIND("PROEJA",K827)),2400,
        IF(K827="INTEGRADO",
            IF(Q827=800,3000,
                IF(Q827=1000,3100,
                    IF(Q827=1200,3200,Q827)
                )
            ),
            Q827
        )
    )
)</f>
        <v>3200</v>
      </c>
      <c r="S827" s="1">
        <v>2.5</v>
      </c>
      <c r="U827" s="1">
        <f t="shared" ref="U827:U889" si="277">O827-N827+1</f>
        <v>1492</v>
      </c>
      <c r="V827" s="7">
        <f t="shared" ref="V827:V889" si="278">IF(R827&gt;P827,P827,R827)/U827</f>
        <v>2.1447721179624666</v>
      </c>
      <c r="W827" s="7">
        <f t="shared" ref="W827:W889" si="279">IF(U827&gt;365,V827*365,R827)</f>
        <v>782.84182305630031</v>
      </c>
      <c r="X827" s="7">
        <f t="shared" ref="X827:X889" si="280">IF(U827&gt;365,W827/800,R827/800)</f>
        <v>0.97855227882037543</v>
      </c>
      <c r="AA827" s="8">
        <f t="shared" ref="AA827:AA889" si="281">DATE(2023,1,1)</f>
        <v>44927</v>
      </c>
      <c r="AB827" s="8">
        <f t="shared" ref="AB827:AB889" si="282">DATE(2023,12,31)</f>
        <v>45291</v>
      </c>
      <c r="AC827" s="1">
        <v>13</v>
      </c>
      <c r="AD827" s="1">
        <f t="shared" ref="AD827:AD889" si="283">IF(AND(N827&lt;AA827,O827&gt;AB827),AB827-AA827+1,0)</f>
        <v>0</v>
      </c>
      <c r="AE827" s="1">
        <f t="shared" ref="AE827:AE889" si="284">IF(AND(N827&gt;=AA827,O827&gt;AB827,N827&lt;AB827),AB827-N827+1,0)</f>
        <v>210</v>
      </c>
      <c r="AF827" s="1">
        <f t="shared" ref="AF827:AF889" si="285">IF(AND(N827&lt;AA827,O827&lt;=AB827,O827&gt;=AA827),O827-AA827+1,0)</f>
        <v>0</v>
      </c>
      <c r="AG827" s="1">
        <f t="shared" ref="AG827:AG889" si="286">IF(AND(N827&gt;=AA827,O827&lt;=AB827),O827-N827+1,0)</f>
        <v>0</v>
      </c>
      <c r="AH827" s="1">
        <f t="shared" ref="AH827:AH889" si="287">IF(AND(N827&lt;AA827,O827&lt;AA827),(AB827-AA827+1)/2,0)</f>
        <v>0</v>
      </c>
      <c r="AI827" s="5">
        <f t="shared" ref="AI827:AI889" si="288">SUM(AD827:AH827)/IF(U827&gt;=365,AB827-AA827+1,U827)</f>
        <v>0.57534246575342463</v>
      </c>
      <c r="AJ827" s="5">
        <f t="shared" ref="AJ827:AJ889" si="289">X827*AI827</f>
        <v>0.5630026809651475</v>
      </c>
      <c r="AK827" s="5">
        <f t="shared" ref="AK827:AK889" si="290">IF(AH827=0,AJ827*AC827,IF(AA827-O827&gt;1095,0,AJ827*(AC827/2)))</f>
        <v>7.3190348525469178</v>
      </c>
      <c r="AL827" s="5">
        <f t="shared" ref="AL827:AL889" si="291">AK827*S827</f>
        <v>18.297587131367294</v>
      </c>
      <c r="AM827" s="5">
        <f t="shared" ref="AM827:AM889" si="292">IF(J827="SIM",AL827*50%,0)</f>
        <v>0</v>
      </c>
      <c r="AN827" s="5">
        <f t="shared" ref="AN827:AN889" si="293">AL827+AM827</f>
        <v>18.297587131367294</v>
      </c>
      <c r="AO827" s="1" t="s">
        <v>111</v>
      </c>
    </row>
    <row r="828" spans="1:41" x14ac:dyDescent="0.25">
      <c r="A828" s="1" t="s">
        <v>19</v>
      </c>
      <c r="B828" s="1" t="s">
        <v>37</v>
      </c>
      <c r="C828" s="1" t="s">
        <v>21</v>
      </c>
      <c r="D828" s="1" t="s">
        <v>39</v>
      </c>
      <c r="E828" s="1" t="s">
        <v>172</v>
      </c>
      <c r="F828" s="1" t="s">
        <v>534</v>
      </c>
      <c r="G828" s="1" t="s">
        <v>320</v>
      </c>
      <c r="H828" s="1" t="s">
        <v>321</v>
      </c>
      <c r="I828" s="1" t="s">
        <v>174</v>
      </c>
      <c r="J828" s="1" t="s">
        <v>101</v>
      </c>
      <c r="L828" s="1">
        <v>3011628</v>
      </c>
      <c r="M828" s="1" t="s">
        <v>993</v>
      </c>
      <c r="N828" s="8">
        <f t="shared" si="275"/>
        <v>45082</v>
      </c>
      <c r="O828" s="8">
        <f>DATE(2027,6,5)</f>
        <v>46543</v>
      </c>
      <c r="P828" s="1">
        <v>3470</v>
      </c>
      <c r="Q828" s="1">
        <v>3200</v>
      </c>
      <c r="R828" s="1">
        <f t="shared" si="276"/>
        <v>3200</v>
      </c>
      <c r="S828" s="1">
        <v>2.5</v>
      </c>
      <c r="U828" s="1">
        <f t="shared" si="277"/>
        <v>1462</v>
      </c>
      <c r="V828" s="7">
        <f t="shared" si="278"/>
        <v>2.188782489740082</v>
      </c>
      <c r="W828" s="7">
        <f t="shared" si="279"/>
        <v>798.90560875512995</v>
      </c>
      <c r="X828" s="7">
        <f t="shared" si="280"/>
        <v>0.99863201094391241</v>
      </c>
      <c r="AA828" s="8">
        <f t="shared" si="281"/>
        <v>44927</v>
      </c>
      <c r="AB828" s="8">
        <f t="shared" si="282"/>
        <v>45291</v>
      </c>
      <c r="AC828" s="1">
        <v>9</v>
      </c>
      <c r="AD828" s="1">
        <f t="shared" si="283"/>
        <v>0</v>
      </c>
      <c r="AE828" s="1">
        <f t="shared" si="284"/>
        <v>210</v>
      </c>
      <c r="AF828" s="1">
        <f t="shared" si="285"/>
        <v>0</v>
      </c>
      <c r="AG828" s="1">
        <f t="shared" si="286"/>
        <v>0</v>
      </c>
      <c r="AH828" s="1">
        <f t="shared" si="287"/>
        <v>0</v>
      </c>
      <c r="AI828" s="5">
        <f t="shared" si="288"/>
        <v>0.57534246575342463</v>
      </c>
      <c r="AJ828" s="5">
        <f t="shared" si="289"/>
        <v>0.57455540355677148</v>
      </c>
      <c r="AK828" s="5">
        <f t="shared" si="290"/>
        <v>5.1709986320109431</v>
      </c>
      <c r="AL828" s="5">
        <f t="shared" si="291"/>
        <v>12.927496580027357</v>
      </c>
      <c r="AM828" s="5">
        <f t="shared" si="292"/>
        <v>0</v>
      </c>
      <c r="AN828" s="5">
        <f t="shared" si="293"/>
        <v>12.927496580027357</v>
      </c>
      <c r="AO828" s="1" t="s">
        <v>111</v>
      </c>
    </row>
    <row r="829" spans="1:41" x14ac:dyDescent="0.25">
      <c r="A829" s="1" t="s">
        <v>19</v>
      </c>
      <c r="B829" s="1" t="s">
        <v>37</v>
      </c>
      <c r="C829" s="1" t="s">
        <v>21</v>
      </c>
      <c r="D829" s="1" t="s">
        <v>39</v>
      </c>
      <c r="E829" s="1" t="s">
        <v>172</v>
      </c>
      <c r="F829" s="1" t="s">
        <v>534</v>
      </c>
      <c r="G829" s="1" t="s">
        <v>320</v>
      </c>
      <c r="H829" s="1" t="s">
        <v>321</v>
      </c>
      <c r="I829" s="1" t="s">
        <v>174</v>
      </c>
      <c r="J829" s="1" t="s">
        <v>101</v>
      </c>
      <c r="L829" s="1">
        <v>3011639</v>
      </c>
      <c r="M829" s="1" t="s">
        <v>993</v>
      </c>
      <c r="N829" s="8">
        <f t="shared" si="275"/>
        <v>45082</v>
      </c>
      <c r="O829" s="8">
        <f>DATE(2027,6,5)</f>
        <v>46543</v>
      </c>
      <c r="P829" s="1">
        <v>3470</v>
      </c>
      <c r="Q829" s="1">
        <v>3200</v>
      </c>
      <c r="R829" s="1">
        <f t="shared" si="276"/>
        <v>3200</v>
      </c>
      <c r="S829" s="1">
        <v>2.5</v>
      </c>
      <c r="U829" s="1">
        <f t="shared" si="277"/>
        <v>1462</v>
      </c>
      <c r="V829" s="7">
        <f t="shared" si="278"/>
        <v>2.188782489740082</v>
      </c>
      <c r="W829" s="7">
        <f t="shared" si="279"/>
        <v>798.90560875512995</v>
      </c>
      <c r="X829" s="7">
        <f t="shared" si="280"/>
        <v>0.99863201094391241</v>
      </c>
      <c r="AA829" s="8">
        <f t="shared" si="281"/>
        <v>44927</v>
      </c>
      <c r="AB829" s="8">
        <f t="shared" si="282"/>
        <v>45291</v>
      </c>
      <c r="AC829" s="1">
        <v>13</v>
      </c>
      <c r="AD829" s="1">
        <f t="shared" si="283"/>
        <v>0</v>
      </c>
      <c r="AE829" s="1">
        <f t="shared" si="284"/>
        <v>210</v>
      </c>
      <c r="AF829" s="1">
        <f t="shared" si="285"/>
        <v>0</v>
      </c>
      <c r="AG829" s="1">
        <f t="shared" si="286"/>
        <v>0</v>
      </c>
      <c r="AH829" s="1">
        <f t="shared" si="287"/>
        <v>0</v>
      </c>
      <c r="AI829" s="5">
        <f t="shared" si="288"/>
        <v>0.57534246575342463</v>
      </c>
      <c r="AJ829" s="5">
        <f t="shared" si="289"/>
        <v>0.57455540355677148</v>
      </c>
      <c r="AK829" s="5">
        <f t="shared" si="290"/>
        <v>7.469220246238029</v>
      </c>
      <c r="AL829" s="5">
        <f t="shared" si="291"/>
        <v>18.673050615595074</v>
      </c>
      <c r="AM829" s="5">
        <f t="shared" si="292"/>
        <v>0</v>
      </c>
      <c r="AN829" s="5">
        <f t="shared" si="293"/>
        <v>18.673050615595074</v>
      </c>
      <c r="AO829" s="1" t="s">
        <v>111</v>
      </c>
    </row>
    <row r="830" spans="1:41" x14ac:dyDescent="0.25">
      <c r="A830" s="1" t="s">
        <v>19</v>
      </c>
      <c r="B830" s="1" t="s">
        <v>37</v>
      </c>
      <c r="C830" s="1" t="s">
        <v>21</v>
      </c>
      <c r="D830" s="1" t="s">
        <v>39</v>
      </c>
      <c r="E830" s="1" t="s">
        <v>96</v>
      </c>
      <c r="F830" s="1" t="s">
        <v>103</v>
      </c>
      <c r="G830" s="1" t="s">
        <v>127</v>
      </c>
      <c r="H830" s="1" t="s">
        <v>872</v>
      </c>
      <c r="I830" s="1" t="s">
        <v>157</v>
      </c>
      <c r="J830" s="1" t="s">
        <v>101</v>
      </c>
      <c r="L830" s="1">
        <v>3024253</v>
      </c>
      <c r="M830" s="1" t="s">
        <v>995</v>
      </c>
      <c r="N830" s="8">
        <f>DATE(2023,8,8)</f>
        <v>45146</v>
      </c>
      <c r="O830" s="8">
        <f>DATE(2026,12,20)</f>
        <v>46376</v>
      </c>
      <c r="P830" s="1">
        <v>1680</v>
      </c>
      <c r="Q830" s="1">
        <v>1600</v>
      </c>
      <c r="R830" s="1">
        <f t="shared" si="276"/>
        <v>1600</v>
      </c>
      <c r="S830" s="1">
        <v>1</v>
      </c>
      <c r="U830" s="1">
        <f t="shared" si="277"/>
        <v>1231</v>
      </c>
      <c r="V830" s="7">
        <f t="shared" si="278"/>
        <v>1.2997562956945572</v>
      </c>
      <c r="W830" s="7">
        <f t="shared" si="279"/>
        <v>474.41104792851337</v>
      </c>
      <c r="X830" s="7">
        <f t="shared" si="280"/>
        <v>0.59301380991064168</v>
      </c>
      <c r="AA830" s="8">
        <f t="shared" si="281"/>
        <v>44927</v>
      </c>
      <c r="AB830" s="8">
        <f t="shared" si="282"/>
        <v>45291</v>
      </c>
      <c r="AC830" s="1">
        <v>25</v>
      </c>
      <c r="AD830" s="1">
        <f t="shared" si="283"/>
        <v>0</v>
      </c>
      <c r="AE830" s="1">
        <f t="shared" si="284"/>
        <v>146</v>
      </c>
      <c r="AF830" s="1">
        <f t="shared" si="285"/>
        <v>0</v>
      </c>
      <c r="AG830" s="1">
        <f t="shared" si="286"/>
        <v>0</v>
      </c>
      <c r="AH830" s="1">
        <f t="shared" si="287"/>
        <v>0</v>
      </c>
      <c r="AI830" s="5">
        <f t="shared" si="288"/>
        <v>0.4</v>
      </c>
      <c r="AJ830" s="5">
        <f t="shared" si="289"/>
        <v>0.23720552396425668</v>
      </c>
      <c r="AK830" s="5">
        <f t="shared" si="290"/>
        <v>5.9301380991064168</v>
      </c>
      <c r="AL830" s="5">
        <f t="shared" si="291"/>
        <v>5.9301380991064168</v>
      </c>
      <c r="AM830" s="5">
        <f t="shared" si="292"/>
        <v>0</v>
      </c>
      <c r="AN830" s="5">
        <f t="shared" si="293"/>
        <v>5.9301380991064168</v>
      </c>
      <c r="AO830" s="1" t="s">
        <v>102</v>
      </c>
    </row>
    <row r="831" spans="1:41" x14ac:dyDescent="0.25">
      <c r="A831" s="1" t="s">
        <v>19</v>
      </c>
      <c r="B831" s="1" t="s">
        <v>37</v>
      </c>
      <c r="C831" s="1" t="s">
        <v>21</v>
      </c>
      <c r="D831" s="1" t="s">
        <v>39</v>
      </c>
      <c r="E831" s="1" t="s">
        <v>96</v>
      </c>
      <c r="F831" s="1" t="s">
        <v>103</v>
      </c>
      <c r="G831" s="1" t="s">
        <v>98</v>
      </c>
      <c r="H831" s="1" t="s">
        <v>878</v>
      </c>
      <c r="I831" s="1" t="s">
        <v>255</v>
      </c>
      <c r="J831" s="1" t="s">
        <v>101</v>
      </c>
      <c r="L831" s="1">
        <v>3024451</v>
      </c>
      <c r="M831" s="1" t="s">
        <v>996</v>
      </c>
      <c r="N831" s="8">
        <f>DATE(2023,8,8)</f>
        <v>45146</v>
      </c>
      <c r="O831" s="8">
        <f>DATE(2028,7,31)</f>
        <v>46965</v>
      </c>
      <c r="P831" s="1">
        <v>3780</v>
      </c>
      <c r="Q831" s="1">
        <v>3600</v>
      </c>
      <c r="R831" s="1">
        <f t="shared" si="276"/>
        <v>3600</v>
      </c>
      <c r="S831" s="1">
        <v>2.5</v>
      </c>
      <c r="U831" s="1">
        <f t="shared" si="277"/>
        <v>1820</v>
      </c>
      <c r="V831" s="7">
        <f t="shared" si="278"/>
        <v>1.9780219780219781</v>
      </c>
      <c r="W831" s="7">
        <f t="shared" si="279"/>
        <v>721.97802197802196</v>
      </c>
      <c r="X831" s="7">
        <f t="shared" si="280"/>
        <v>0.90247252747252749</v>
      </c>
      <c r="AA831" s="8">
        <f t="shared" si="281"/>
        <v>44927</v>
      </c>
      <c r="AB831" s="8">
        <f t="shared" si="282"/>
        <v>45291</v>
      </c>
      <c r="AC831" s="1">
        <v>27</v>
      </c>
      <c r="AD831" s="1">
        <f t="shared" si="283"/>
        <v>0</v>
      </c>
      <c r="AE831" s="1">
        <f t="shared" si="284"/>
        <v>146</v>
      </c>
      <c r="AF831" s="1">
        <f t="shared" si="285"/>
        <v>0</v>
      </c>
      <c r="AG831" s="1">
        <f t="shared" si="286"/>
        <v>0</v>
      </c>
      <c r="AH831" s="1">
        <f t="shared" si="287"/>
        <v>0</v>
      </c>
      <c r="AI831" s="5">
        <f t="shared" si="288"/>
        <v>0.4</v>
      </c>
      <c r="AJ831" s="5">
        <f t="shared" si="289"/>
        <v>0.36098901098901104</v>
      </c>
      <c r="AK831" s="5">
        <f t="shared" si="290"/>
        <v>9.7467032967032985</v>
      </c>
      <c r="AL831" s="5">
        <f t="shared" si="291"/>
        <v>24.366758241758248</v>
      </c>
      <c r="AM831" s="5">
        <f t="shared" si="292"/>
        <v>0</v>
      </c>
      <c r="AN831" s="5">
        <f t="shared" si="293"/>
        <v>24.366758241758248</v>
      </c>
      <c r="AO831" s="1" t="s">
        <v>102</v>
      </c>
    </row>
    <row r="832" spans="1:41" x14ac:dyDescent="0.25">
      <c r="A832" s="1" t="s">
        <v>19</v>
      </c>
      <c r="B832" s="1" t="s">
        <v>37</v>
      </c>
      <c r="C832" s="1" t="s">
        <v>21</v>
      </c>
      <c r="D832" s="1" t="s">
        <v>39</v>
      </c>
      <c r="E832" s="1" t="s">
        <v>96</v>
      </c>
      <c r="F832" s="1" t="s">
        <v>103</v>
      </c>
      <c r="G832" s="1" t="s">
        <v>98</v>
      </c>
      <c r="H832" s="1" t="s">
        <v>321</v>
      </c>
      <c r="I832" s="1" t="s">
        <v>194</v>
      </c>
      <c r="J832" s="1" t="s">
        <v>101</v>
      </c>
      <c r="L832" s="1">
        <v>3024490</v>
      </c>
      <c r="M832" s="1" t="s">
        <v>997</v>
      </c>
      <c r="N832" s="8">
        <f>DATE(2023,8,8)</f>
        <v>45146</v>
      </c>
      <c r="O832" s="8">
        <f>DATE(2026,12,20)</f>
        <v>46376</v>
      </c>
      <c r="P832" s="1">
        <v>2782</v>
      </c>
      <c r="Q832" s="1">
        <v>2400</v>
      </c>
      <c r="R832" s="1">
        <f t="shared" si="276"/>
        <v>2400</v>
      </c>
      <c r="S832" s="1">
        <v>2.5</v>
      </c>
      <c r="U832" s="1">
        <f t="shared" si="277"/>
        <v>1231</v>
      </c>
      <c r="V832" s="7">
        <f t="shared" si="278"/>
        <v>1.949634443541836</v>
      </c>
      <c r="W832" s="7">
        <f t="shared" si="279"/>
        <v>711.61657189277014</v>
      </c>
      <c r="X832" s="7">
        <f t="shared" si="280"/>
        <v>0.88952071486596263</v>
      </c>
      <c r="AA832" s="8">
        <f t="shared" si="281"/>
        <v>44927</v>
      </c>
      <c r="AB832" s="8">
        <f t="shared" si="282"/>
        <v>45291</v>
      </c>
      <c r="AC832" s="1">
        <v>24</v>
      </c>
      <c r="AD832" s="1">
        <f t="shared" si="283"/>
        <v>0</v>
      </c>
      <c r="AE832" s="1">
        <f t="shared" si="284"/>
        <v>146</v>
      </c>
      <c r="AF832" s="1">
        <f t="shared" si="285"/>
        <v>0</v>
      </c>
      <c r="AG832" s="1">
        <f t="shared" si="286"/>
        <v>0</v>
      </c>
      <c r="AH832" s="1">
        <f t="shared" si="287"/>
        <v>0</v>
      </c>
      <c r="AI832" s="5">
        <f t="shared" si="288"/>
        <v>0.4</v>
      </c>
      <c r="AJ832" s="5">
        <f t="shared" si="289"/>
        <v>0.35580828594638508</v>
      </c>
      <c r="AK832" s="5">
        <f t="shared" si="290"/>
        <v>8.5393988627132416</v>
      </c>
      <c r="AL832" s="5">
        <f t="shared" si="291"/>
        <v>21.348497156783104</v>
      </c>
      <c r="AM832" s="5">
        <f t="shared" si="292"/>
        <v>0</v>
      </c>
      <c r="AN832" s="5">
        <f t="shared" si="293"/>
        <v>21.348497156783104</v>
      </c>
      <c r="AO832" s="1" t="s">
        <v>102</v>
      </c>
    </row>
    <row r="833" spans="1:41" x14ac:dyDescent="0.25">
      <c r="A833" s="1" t="s">
        <v>19</v>
      </c>
      <c r="B833" s="1" t="s">
        <v>37</v>
      </c>
      <c r="C833" s="1" t="s">
        <v>21</v>
      </c>
      <c r="D833" s="1" t="s">
        <v>39</v>
      </c>
      <c r="E833" s="1" t="s">
        <v>96</v>
      </c>
      <c r="F833" s="1" t="s">
        <v>103</v>
      </c>
      <c r="G833" s="1" t="s">
        <v>114</v>
      </c>
      <c r="H833" s="1" t="s">
        <v>892</v>
      </c>
      <c r="I833" s="1" t="s">
        <v>194</v>
      </c>
      <c r="J833" s="1" t="s">
        <v>101</v>
      </c>
      <c r="K833" s="1" t="s">
        <v>116</v>
      </c>
      <c r="L833" s="1">
        <v>3024515</v>
      </c>
      <c r="M833" s="1" t="s">
        <v>998</v>
      </c>
      <c r="N833" s="8">
        <f>DATE(2023,8,8)</f>
        <v>45146</v>
      </c>
      <c r="O833" s="8">
        <f>DATE(2026,7,31)</f>
        <v>46234</v>
      </c>
      <c r="P833" s="1">
        <v>3689</v>
      </c>
      <c r="Q833" s="1">
        <v>1200</v>
      </c>
      <c r="R833" s="1">
        <f t="shared" si="276"/>
        <v>3200</v>
      </c>
      <c r="S833" s="1">
        <v>2.5</v>
      </c>
      <c r="U833" s="1">
        <f t="shared" si="277"/>
        <v>1089</v>
      </c>
      <c r="V833" s="7">
        <f t="shared" si="278"/>
        <v>2.9384756657483928</v>
      </c>
      <c r="W833" s="7">
        <f t="shared" si="279"/>
        <v>1072.5436179981634</v>
      </c>
      <c r="X833" s="7">
        <f t="shared" si="280"/>
        <v>1.3406795224977044</v>
      </c>
      <c r="AA833" s="8">
        <f t="shared" si="281"/>
        <v>44927</v>
      </c>
      <c r="AB833" s="8">
        <f t="shared" si="282"/>
        <v>45291</v>
      </c>
      <c r="AC833" s="1">
        <v>36</v>
      </c>
      <c r="AD833" s="1">
        <f t="shared" si="283"/>
        <v>0</v>
      </c>
      <c r="AE833" s="1">
        <f t="shared" si="284"/>
        <v>146</v>
      </c>
      <c r="AF833" s="1">
        <f t="shared" si="285"/>
        <v>0</v>
      </c>
      <c r="AG833" s="1">
        <f t="shared" si="286"/>
        <v>0</v>
      </c>
      <c r="AH833" s="1">
        <f t="shared" si="287"/>
        <v>0</v>
      </c>
      <c r="AI833" s="5">
        <f t="shared" si="288"/>
        <v>0.4</v>
      </c>
      <c r="AJ833" s="5">
        <f t="shared" si="289"/>
        <v>0.53627180899908178</v>
      </c>
      <c r="AK833" s="5">
        <f t="shared" si="290"/>
        <v>19.305785123966945</v>
      </c>
      <c r="AL833" s="5">
        <f t="shared" si="291"/>
        <v>48.264462809917362</v>
      </c>
      <c r="AM833" s="5">
        <f t="shared" si="292"/>
        <v>0</v>
      </c>
      <c r="AN833" s="5">
        <f t="shared" si="293"/>
        <v>48.264462809917362</v>
      </c>
      <c r="AO833" s="1" t="s">
        <v>102</v>
      </c>
    </row>
    <row r="834" spans="1:41" x14ac:dyDescent="0.25">
      <c r="A834" s="1" t="s">
        <v>19</v>
      </c>
      <c r="B834" s="1" t="s">
        <v>37</v>
      </c>
      <c r="C834" s="1" t="s">
        <v>21</v>
      </c>
      <c r="D834" s="1" t="s">
        <v>39</v>
      </c>
      <c r="E834" s="1" t="s">
        <v>96</v>
      </c>
      <c r="F834" s="1" t="s">
        <v>103</v>
      </c>
      <c r="G834" s="1" t="s">
        <v>114</v>
      </c>
      <c r="H834" s="1" t="s">
        <v>894</v>
      </c>
      <c r="I834" s="1" t="s">
        <v>157</v>
      </c>
      <c r="J834" s="1" t="s">
        <v>101</v>
      </c>
      <c r="K834" s="1" t="s">
        <v>116</v>
      </c>
      <c r="L834" s="1">
        <v>3024530</v>
      </c>
      <c r="M834" s="1" t="s">
        <v>999</v>
      </c>
      <c r="N834" s="8">
        <f>DATE(2023,8,8)</f>
        <v>45146</v>
      </c>
      <c r="O834" s="8">
        <f>DATE(2026,7,31)</f>
        <v>46234</v>
      </c>
      <c r="P834" s="1">
        <v>3689</v>
      </c>
      <c r="Q834" s="1">
        <v>1200</v>
      </c>
      <c r="R834" s="1">
        <f t="shared" si="276"/>
        <v>3200</v>
      </c>
      <c r="S834" s="1">
        <v>1.5</v>
      </c>
      <c r="U834" s="1">
        <f t="shared" si="277"/>
        <v>1089</v>
      </c>
      <c r="V834" s="7">
        <f t="shared" si="278"/>
        <v>2.9384756657483928</v>
      </c>
      <c r="W834" s="7">
        <f t="shared" si="279"/>
        <v>1072.5436179981634</v>
      </c>
      <c r="X834" s="7">
        <f t="shared" si="280"/>
        <v>1.3406795224977044</v>
      </c>
      <c r="AA834" s="8">
        <f t="shared" si="281"/>
        <v>44927</v>
      </c>
      <c r="AB834" s="8">
        <f t="shared" si="282"/>
        <v>45291</v>
      </c>
      <c r="AC834" s="1">
        <v>35</v>
      </c>
      <c r="AD834" s="1">
        <f t="shared" si="283"/>
        <v>0</v>
      </c>
      <c r="AE834" s="1">
        <f t="shared" si="284"/>
        <v>146</v>
      </c>
      <c r="AF834" s="1">
        <f t="shared" si="285"/>
        <v>0</v>
      </c>
      <c r="AG834" s="1">
        <f t="shared" si="286"/>
        <v>0</v>
      </c>
      <c r="AH834" s="1">
        <f t="shared" si="287"/>
        <v>0</v>
      </c>
      <c r="AI834" s="5">
        <f t="shared" si="288"/>
        <v>0.4</v>
      </c>
      <c r="AJ834" s="5">
        <f t="shared" si="289"/>
        <v>0.53627180899908178</v>
      </c>
      <c r="AK834" s="5">
        <f t="shared" si="290"/>
        <v>18.769513314967863</v>
      </c>
      <c r="AL834" s="5">
        <f t="shared" si="291"/>
        <v>28.154269972451793</v>
      </c>
      <c r="AM834" s="5">
        <f t="shared" si="292"/>
        <v>0</v>
      </c>
      <c r="AN834" s="5">
        <f t="shared" si="293"/>
        <v>28.154269972451793</v>
      </c>
      <c r="AO834" s="1" t="s">
        <v>102</v>
      </c>
    </row>
    <row r="835" spans="1:41" x14ac:dyDescent="0.25">
      <c r="A835" s="1" t="s">
        <v>19</v>
      </c>
      <c r="B835" s="1" t="s">
        <v>40</v>
      </c>
      <c r="C835" s="1" t="s">
        <v>21</v>
      </c>
      <c r="D835" s="1" t="s">
        <v>41</v>
      </c>
      <c r="E835" s="1" t="s">
        <v>96</v>
      </c>
      <c r="F835" s="1" t="s">
        <v>103</v>
      </c>
      <c r="G835" s="1" t="s">
        <v>320</v>
      </c>
      <c r="H835" s="1" t="s">
        <v>456</v>
      </c>
      <c r="I835" s="1" t="s">
        <v>174</v>
      </c>
      <c r="J835" s="1" t="s">
        <v>101</v>
      </c>
      <c r="L835" s="1">
        <v>2138874</v>
      </c>
      <c r="M835" s="1" t="s">
        <v>1000</v>
      </c>
      <c r="N835" s="8">
        <f>DATE(2017,2,6)</f>
        <v>42772</v>
      </c>
      <c r="O835" s="8">
        <f>DATE(2020,12,23)</f>
        <v>44188</v>
      </c>
      <c r="P835" s="1">
        <v>3137</v>
      </c>
      <c r="Q835" s="1">
        <v>3200</v>
      </c>
      <c r="R835" s="1">
        <f t="shared" si="276"/>
        <v>3200</v>
      </c>
      <c r="S835" s="1">
        <v>2.5</v>
      </c>
      <c r="U835" s="1">
        <f t="shared" si="277"/>
        <v>1417</v>
      </c>
      <c r="V835" s="7">
        <f t="shared" si="278"/>
        <v>2.213832039520113</v>
      </c>
      <c r="W835" s="7">
        <f t="shared" si="279"/>
        <v>808.04869442484119</v>
      </c>
      <c r="X835" s="7">
        <f t="shared" si="280"/>
        <v>1.0100608680310514</v>
      </c>
      <c r="AA835" s="8">
        <f t="shared" si="281"/>
        <v>44927</v>
      </c>
      <c r="AB835" s="8">
        <f t="shared" si="282"/>
        <v>45291</v>
      </c>
      <c r="AC835" s="1">
        <v>7</v>
      </c>
      <c r="AD835" s="1">
        <f t="shared" si="283"/>
        <v>0</v>
      </c>
      <c r="AE835" s="1">
        <f t="shared" si="284"/>
        <v>0</v>
      </c>
      <c r="AF835" s="1">
        <f t="shared" si="285"/>
        <v>0</v>
      </c>
      <c r="AG835" s="1">
        <f t="shared" si="286"/>
        <v>0</v>
      </c>
      <c r="AH835" s="1">
        <f t="shared" si="287"/>
        <v>182.5</v>
      </c>
      <c r="AI835" s="5">
        <f t="shared" si="288"/>
        <v>0.5</v>
      </c>
      <c r="AJ835" s="5">
        <f t="shared" si="289"/>
        <v>0.50503043401552572</v>
      </c>
      <c r="AK835" s="5">
        <f t="shared" si="290"/>
        <v>1.76760651905434</v>
      </c>
      <c r="AL835" s="5">
        <f t="shared" si="291"/>
        <v>4.4190162976358502</v>
      </c>
      <c r="AM835" s="5">
        <f t="shared" si="292"/>
        <v>0</v>
      </c>
      <c r="AN835" s="5">
        <f t="shared" si="293"/>
        <v>4.4190162976358502</v>
      </c>
      <c r="AO835" s="1" t="s">
        <v>102</v>
      </c>
    </row>
    <row r="836" spans="1:41" x14ac:dyDescent="0.25">
      <c r="A836" s="1" t="s">
        <v>19</v>
      </c>
      <c r="B836" s="1" t="s">
        <v>40</v>
      </c>
      <c r="C836" s="1" t="s">
        <v>21</v>
      </c>
      <c r="D836" s="1" t="s">
        <v>41</v>
      </c>
      <c r="E836" s="1" t="s">
        <v>96</v>
      </c>
      <c r="F836" s="1" t="s">
        <v>103</v>
      </c>
      <c r="G836" s="1" t="s">
        <v>114</v>
      </c>
      <c r="H836" s="1" t="s">
        <v>516</v>
      </c>
      <c r="I836" s="1" t="s">
        <v>105</v>
      </c>
      <c r="J836" s="1" t="s">
        <v>106</v>
      </c>
      <c r="K836" s="1" t="s">
        <v>116</v>
      </c>
      <c r="L836" s="1">
        <v>2485052</v>
      </c>
      <c r="M836" s="1" t="s">
        <v>1001</v>
      </c>
      <c r="N836" s="8">
        <f>DATE(2018,2,5)</f>
        <v>43136</v>
      </c>
      <c r="O836" s="8">
        <f>DATE(2020,12,18)</f>
        <v>44183</v>
      </c>
      <c r="P836" s="1">
        <v>3792</v>
      </c>
      <c r="Q836" s="1">
        <v>1200</v>
      </c>
      <c r="R836" s="1">
        <f t="shared" si="276"/>
        <v>3200</v>
      </c>
      <c r="S836" s="1">
        <v>2.5</v>
      </c>
      <c r="U836" s="1">
        <f t="shared" si="277"/>
        <v>1048</v>
      </c>
      <c r="V836" s="7">
        <f t="shared" si="278"/>
        <v>3.053435114503817</v>
      </c>
      <c r="W836" s="7">
        <f t="shared" si="279"/>
        <v>1114.5038167938933</v>
      </c>
      <c r="X836" s="7">
        <f t="shared" si="280"/>
        <v>1.3931297709923667</v>
      </c>
      <c r="AA836" s="8">
        <f t="shared" si="281"/>
        <v>44927</v>
      </c>
      <c r="AB836" s="8">
        <f t="shared" si="282"/>
        <v>45291</v>
      </c>
      <c r="AC836" s="1">
        <v>1</v>
      </c>
      <c r="AD836" s="1">
        <f t="shared" si="283"/>
        <v>0</v>
      </c>
      <c r="AE836" s="1">
        <f t="shared" si="284"/>
        <v>0</v>
      </c>
      <c r="AF836" s="1">
        <f t="shared" si="285"/>
        <v>0</v>
      </c>
      <c r="AG836" s="1">
        <f t="shared" si="286"/>
        <v>0</v>
      </c>
      <c r="AH836" s="1">
        <f t="shared" si="287"/>
        <v>182.5</v>
      </c>
      <c r="AI836" s="5">
        <f t="shared" si="288"/>
        <v>0.5</v>
      </c>
      <c r="AJ836" s="5">
        <f t="shared" si="289"/>
        <v>0.69656488549618334</v>
      </c>
      <c r="AK836" s="5">
        <f t="shared" si="290"/>
        <v>0.34828244274809167</v>
      </c>
      <c r="AL836" s="5">
        <f t="shared" si="291"/>
        <v>0.8707061068702292</v>
      </c>
      <c r="AM836" s="5">
        <f t="shared" si="292"/>
        <v>0.4353530534351146</v>
      </c>
      <c r="AN836" s="5">
        <f t="shared" si="293"/>
        <v>1.3060591603053437</v>
      </c>
      <c r="AO836" s="1" t="s">
        <v>102</v>
      </c>
    </row>
    <row r="837" spans="1:41" x14ac:dyDescent="0.25">
      <c r="A837" s="1" t="s">
        <v>19</v>
      </c>
      <c r="B837" s="1" t="s">
        <v>40</v>
      </c>
      <c r="C837" s="1" t="s">
        <v>21</v>
      </c>
      <c r="D837" s="1" t="s">
        <v>41</v>
      </c>
      <c r="E837" s="1" t="s">
        <v>96</v>
      </c>
      <c r="F837" s="1" t="s">
        <v>103</v>
      </c>
      <c r="G837" s="1" t="s">
        <v>114</v>
      </c>
      <c r="H837" s="1" t="s">
        <v>115</v>
      </c>
      <c r="I837" s="1" t="s">
        <v>100</v>
      </c>
      <c r="J837" s="1" t="s">
        <v>101</v>
      </c>
      <c r="K837" s="1" t="s">
        <v>116</v>
      </c>
      <c r="L837" s="1">
        <v>2485060</v>
      </c>
      <c r="M837" s="1" t="s">
        <v>1002</v>
      </c>
      <c r="N837" s="8">
        <f>DATE(2018,2,5)</f>
        <v>43136</v>
      </c>
      <c r="O837" s="8">
        <f>DATE(2020,12,18)</f>
        <v>44183</v>
      </c>
      <c r="P837" s="1">
        <v>3774</v>
      </c>
      <c r="Q837" s="1">
        <v>800</v>
      </c>
      <c r="R837" s="1">
        <f t="shared" si="276"/>
        <v>3000</v>
      </c>
      <c r="S837" s="1">
        <v>1.5</v>
      </c>
      <c r="U837" s="1">
        <f t="shared" si="277"/>
        <v>1048</v>
      </c>
      <c r="V837" s="7">
        <f t="shared" si="278"/>
        <v>2.8625954198473282</v>
      </c>
      <c r="W837" s="7">
        <f t="shared" si="279"/>
        <v>1044.8473282442749</v>
      </c>
      <c r="X837" s="7">
        <f t="shared" si="280"/>
        <v>1.3060591603053435</v>
      </c>
      <c r="AA837" s="8">
        <f t="shared" si="281"/>
        <v>44927</v>
      </c>
      <c r="AB837" s="8">
        <f t="shared" si="282"/>
        <v>45291</v>
      </c>
      <c r="AC837" s="1">
        <v>1</v>
      </c>
      <c r="AD837" s="1">
        <f t="shared" si="283"/>
        <v>0</v>
      </c>
      <c r="AE837" s="1">
        <f t="shared" si="284"/>
        <v>0</v>
      </c>
      <c r="AF837" s="1">
        <f t="shared" si="285"/>
        <v>0</v>
      </c>
      <c r="AG837" s="1">
        <f t="shared" si="286"/>
        <v>0</v>
      </c>
      <c r="AH837" s="1">
        <f t="shared" si="287"/>
        <v>182.5</v>
      </c>
      <c r="AI837" s="5">
        <f t="shared" si="288"/>
        <v>0.5</v>
      </c>
      <c r="AJ837" s="5">
        <f t="shared" si="289"/>
        <v>0.65302958015267176</v>
      </c>
      <c r="AK837" s="5">
        <f t="shared" si="290"/>
        <v>0.32651479007633588</v>
      </c>
      <c r="AL837" s="5">
        <f t="shared" si="291"/>
        <v>0.48977218511450382</v>
      </c>
      <c r="AM837" s="5">
        <f t="shared" si="292"/>
        <v>0</v>
      </c>
      <c r="AN837" s="5">
        <f t="shared" si="293"/>
        <v>0.48977218511450382</v>
      </c>
      <c r="AO837" s="1" t="s">
        <v>102</v>
      </c>
    </row>
    <row r="838" spans="1:41" x14ac:dyDescent="0.25">
      <c r="A838" s="1" t="s">
        <v>19</v>
      </c>
      <c r="B838" s="1" t="s">
        <v>40</v>
      </c>
      <c r="C838" s="1" t="s">
        <v>21</v>
      </c>
      <c r="D838" s="1" t="s">
        <v>41</v>
      </c>
      <c r="E838" s="1" t="s">
        <v>96</v>
      </c>
      <c r="F838" s="1" t="s">
        <v>103</v>
      </c>
      <c r="G838" s="1" t="s">
        <v>320</v>
      </c>
      <c r="H838" s="1" t="s">
        <v>456</v>
      </c>
      <c r="I838" s="1" t="s">
        <v>174</v>
      </c>
      <c r="J838" s="1" t="s">
        <v>101</v>
      </c>
      <c r="L838" s="1">
        <v>2488832</v>
      </c>
      <c r="M838" s="1" t="s">
        <v>1003</v>
      </c>
      <c r="N838" s="8">
        <f>DATE(2018,2,5)</f>
        <v>43136</v>
      </c>
      <c r="O838" s="8">
        <f>DATE(2021,12,20)</f>
        <v>44550</v>
      </c>
      <c r="P838" s="1">
        <v>3205</v>
      </c>
      <c r="Q838" s="1">
        <v>3200</v>
      </c>
      <c r="R838" s="1">
        <f t="shared" si="276"/>
        <v>3200</v>
      </c>
      <c r="S838" s="1">
        <v>2.5</v>
      </c>
      <c r="U838" s="1">
        <f t="shared" si="277"/>
        <v>1415</v>
      </c>
      <c r="V838" s="7">
        <f t="shared" si="278"/>
        <v>2.2614840989399294</v>
      </c>
      <c r="W838" s="7">
        <f t="shared" si="279"/>
        <v>825.44169611307427</v>
      </c>
      <c r="X838" s="7">
        <f t="shared" si="280"/>
        <v>1.0318021201413428</v>
      </c>
      <c r="AA838" s="8">
        <f t="shared" si="281"/>
        <v>44927</v>
      </c>
      <c r="AB838" s="8">
        <f t="shared" si="282"/>
        <v>45291</v>
      </c>
      <c r="AC838" s="1">
        <v>8</v>
      </c>
      <c r="AD838" s="1">
        <f t="shared" si="283"/>
        <v>0</v>
      </c>
      <c r="AE838" s="1">
        <f t="shared" si="284"/>
        <v>0</v>
      </c>
      <c r="AF838" s="1">
        <f t="shared" si="285"/>
        <v>0</v>
      </c>
      <c r="AG838" s="1">
        <f t="shared" si="286"/>
        <v>0</v>
      </c>
      <c r="AH838" s="1">
        <f t="shared" si="287"/>
        <v>182.5</v>
      </c>
      <c r="AI838" s="5">
        <f t="shared" si="288"/>
        <v>0.5</v>
      </c>
      <c r="AJ838" s="5">
        <f t="shared" si="289"/>
        <v>0.51590106007067138</v>
      </c>
      <c r="AK838" s="5">
        <f t="shared" si="290"/>
        <v>2.0636042402826855</v>
      </c>
      <c r="AL838" s="5">
        <f t="shared" si="291"/>
        <v>5.159010600706714</v>
      </c>
      <c r="AM838" s="5">
        <f t="shared" si="292"/>
        <v>0</v>
      </c>
      <c r="AN838" s="5">
        <f t="shared" si="293"/>
        <v>5.159010600706714</v>
      </c>
      <c r="AO838" s="1" t="s">
        <v>102</v>
      </c>
    </row>
    <row r="839" spans="1:41" x14ac:dyDescent="0.25">
      <c r="A839" s="1" t="s">
        <v>19</v>
      </c>
      <c r="B839" s="1" t="s">
        <v>40</v>
      </c>
      <c r="C839" s="1" t="s">
        <v>21</v>
      </c>
      <c r="D839" s="1" t="s">
        <v>41</v>
      </c>
      <c r="E839" s="1" t="s">
        <v>96</v>
      </c>
      <c r="F839" s="1" t="s">
        <v>103</v>
      </c>
      <c r="G839" s="1" t="s">
        <v>114</v>
      </c>
      <c r="H839" s="1" t="s">
        <v>516</v>
      </c>
      <c r="I839" s="1" t="s">
        <v>105</v>
      </c>
      <c r="J839" s="1" t="s">
        <v>106</v>
      </c>
      <c r="K839" s="1" t="s">
        <v>116</v>
      </c>
      <c r="L839" s="1">
        <v>2584750</v>
      </c>
      <c r="M839" s="1" t="s">
        <v>1004</v>
      </c>
      <c r="N839" s="8">
        <f>DATE(2019,2,4)</f>
        <v>43500</v>
      </c>
      <c r="O839" s="8">
        <f>DATE(2021,12,24)</f>
        <v>44554</v>
      </c>
      <c r="P839" s="1">
        <v>3792</v>
      </c>
      <c r="Q839" s="1">
        <v>1200</v>
      </c>
      <c r="R839" s="1">
        <f t="shared" si="276"/>
        <v>3200</v>
      </c>
      <c r="S839" s="1">
        <v>2.5</v>
      </c>
      <c r="U839" s="1">
        <f t="shared" si="277"/>
        <v>1055</v>
      </c>
      <c r="V839" s="7">
        <f t="shared" si="278"/>
        <v>3.0331753554502368</v>
      </c>
      <c r="W839" s="7">
        <f t="shared" si="279"/>
        <v>1107.1090047393363</v>
      </c>
      <c r="X839" s="7">
        <f t="shared" si="280"/>
        <v>1.3838862559241705</v>
      </c>
      <c r="AA839" s="8">
        <f t="shared" si="281"/>
        <v>44927</v>
      </c>
      <c r="AB839" s="8">
        <f t="shared" si="282"/>
        <v>45291</v>
      </c>
      <c r="AC839" s="1">
        <v>3</v>
      </c>
      <c r="AD839" s="1">
        <f t="shared" si="283"/>
        <v>0</v>
      </c>
      <c r="AE839" s="1">
        <f t="shared" si="284"/>
        <v>0</v>
      </c>
      <c r="AF839" s="1">
        <f t="shared" si="285"/>
        <v>0</v>
      </c>
      <c r="AG839" s="1">
        <f t="shared" si="286"/>
        <v>0</v>
      </c>
      <c r="AH839" s="1">
        <f t="shared" si="287"/>
        <v>182.5</v>
      </c>
      <c r="AI839" s="5">
        <f t="shared" si="288"/>
        <v>0.5</v>
      </c>
      <c r="AJ839" s="5">
        <f t="shared" si="289"/>
        <v>0.69194312796208524</v>
      </c>
      <c r="AK839" s="5">
        <f t="shared" si="290"/>
        <v>1.0379146919431279</v>
      </c>
      <c r="AL839" s="5">
        <f t="shared" si="291"/>
        <v>2.5947867298578196</v>
      </c>
      <c r="AM839" s="5">
        <f t="shared" si="292"/>
        <v>1.2973933649289098</v>
      </c>
      <c r="AN839" s="5">
        <f t="shared" si="293"/>
        <v>3.8921800947867293</v>
      </c>
      <c r="AO839" s="1" t="s">
        <v>102</v>
      </c>
    </row>
    <row r="840" spans="1:41" x14ac:dyDescent="0.25">
      <c r="A840" s="1" t="s">
        <v>19</v>
      </c>
      <c r="B840" s="1" t="s">
        <v>40</v>
      </c>
      <c r="C840" s="1" t="s">
        <v>21</v>
      </c>
      <c r="D840" s="1" t="s">
        <v>41</v>
      </c>
      <c r="E840" s="1" t="s">
        <v>96</v>
      </c>
      <c r="F840" s="1" t="s">
        <v>103</v>
      </c>
      <c r="G840" s="1" t="s">
        <v>320</v>
      </c>
      <c r="H840" s="1" t="s">
        <v>456</v>
      </c>
      <c r="I840" s="1" t="s">
        <v>174</v>
      </c>
      <c r="J840" s="1" t="s">
        <v>101</v>
      </c>
      <c r="L840" s="1">
        <v>2584751</v>
      </c>
      <c r="M840" s="1" t="s">
        <v>1005</v>
      </c>
      <c r="N840" s="8">
        <f>DATE(2019,2,4)</f>
        <v>43500</v>
      </c>
      <c r="O840" s="8">
        <f>DATE(2022,12,23)</f>
        <v>44918</v>
      </c>
      <c r="P840" s="1">
        <v>3205</v>
      </c>
      <c r="Q840" s="1">
        <v>3200</v>
      </c>
      <c r="R840" s="1">
        <f t="shared" si="276"/>
        <v>3200</v>
      </c>
      <c r="S840" s="1">
        <v>2.5</v>
      </c>
      <c r="U840" s="1">
        <f t="shared" si="277"/>
        <v>1419</v>
      </c>
      <c r="V840" s="7">
        <f t="shared" si="278"/>
        <v>2.2551092318534178</v>
      </c>
      <c r="W840" s="7">
        <f t="shared" si="279"/>
        <v>823.11486962649747</v>
      </c>
      <c r="X840" s="7">
        <f t="shared" si="280"/>
        <v>1.0288935870331217</v>
      </c>
      <c r="AA840" s="8">
        <f t="shared" si="281"/>
        <v>44927</v>
      </c>
      <c r="AB840" s="8">
        <f t="shared" si="282"/>
        <v>45291</v>
      </c>
      <c r="AC840" s="1">
        <v>14</v>
      </c>
      <c r="AD840" s="1">
        <f t="shared" si="283"/>
        <v>0</v>
      </c>
      <c r="AE840" s="1">
        <f t="shared" si="284"/>
        <v>0</v>
      </c>
      <c r="AF840" s="1">
        <f t="shared" si="285"/>
        <v>0</v>
      </c>
      <c r="AG840" s="1">
        <f t="shared" si="286"/>
        <v>0</v>
      </c>
      <c r="AH840" s="1">
        <f t="shared" si="287"/>
        <v>182.5</v>
      </c>
      <c r="AI840" s="5">
        <f t="shared" si="288"/>
        <v>0.5</v>
      </c>
      <c r="AJ840" s="5">
        <f t="shared" si="289"/>
        <v>0.51444679351656086</v>
      </c>
      <c r="AK840" s="5">
        <f t="shared" si="290"/>
        <v>3.601127554615926</v>
      </c>
      <c r="AL840" s="5">
        <f t="shared" si="291"/>
        <v>9.0028188865398153</v>
      </c>
      <c r="AM840" s="5">
        <f t="shared" si="292"/>
        <v>0</v>
      </c>
      <c r="AN840" s="5">
        <f t="shared" si="293"/>
        <v>9.0028188865398153</v>
      </c>
      <c r="AO840" s="1" t="s">
        <v>102</v>
      </c>
    </row>
    <row r="841" spans="1:41" x14ac:dyDescent="0.25">
      <c r="A841" s="1" t="s">
        <v>19</v>
      </c>
      <c r="B841" s="1" t="s">
        <v>40</v>
      </c>
      <c r="C841" s="1" t="s">
        <v>21</v>
      </c>
      <c r="D841" s="1" t="s">
        <v>41</v>
      </c>
      <c r="E841" s="1" t="s">
        <v>96</v>
      </c>
      <c r="F841" s="1" t="s">
        <v>103</v>
      </c>
      <c r="G841" s="1" t="s">
        <v>114</v>
      </c>
      <c r="H841" s="1" t="s">
        <v>115</v>
      </c>
      <c r="I841" s="1" t="s">
        <v>100</v>
      </c>
      <c r="J841" s="1" t="s">
        <v>101</v>
      </c>
      <c r="K841" s="1" t="s">
        <v>116</v>
      </c>
      <c r="L841" s="1">
        <v>2676320</v>
      </c>
      <c r="M841" s="1" t="s">
        <v>1006</v>
      </c>
      <c r="N841" s="8">
        <f>DATE(2020,2,10)</f>
        <v>43871</v>
      </c>
      <c r="O841" s="8">
        <f>DATE(2022,12,23)</f>
        <v>44918</v>
      </c>
      <c r="P841" s="1">
        <v>3774</v>
      </c>
      <c r="Q841" s="1">
        <v>800</v>
      </c>
      <c r="R841" s="1">
        <f t="shared" si="276"/>
        <v>3000</v>
      </c>
      <c r="S841" s="1">
        <v>1.5</v>
      </c>
      <c r="U841" s="1">
        <f t="shared" si="277"/>
        <v>1048</v>
      </c>
      <c r="V841" s="7">
        <f t="shared" si="278"/>
        <v>2.8625954198473282</v>
      </c>
      <c r="W841" s="7">
        <f t="shared" si="279"/>
        <v>1044.8473282442749</v>
      </c>
      <c r="X841" s="7">
        <f t="shared" si="280"/>
        <v>1.3060591603053435</v>
      </c>
      <c r="AA841" s="8">
        <f t="shared" si="281"/>
        <v>44927</v>
      </c>
      <c r="AB841" s="8">
        <f t="shared" si="282"/>
        <v>45291</v>
      </c>
      <c r="AC841" s="1">
        <v>4</v>
      </c>
      <c r="AD841" s="1">
        <f t="shared" si="283"/>
        <v>0</v>
      </c>
      <c r="AE841" s="1">
        <f t="shared" si="284"/>
        <v>0</v>
      </c>
      <c r="AF841" s="1">
        <f t="shared" si="285"/>
        <v>0</v>
      </c>
      <c r="AG841" s="1">
        <f t="shared" si="286"/>
        <v>0</v>
      </c>
      <c r="AH841" s="1">
        <f t="shared" si="287"/>
        <v>182.5</v>
      </c>
      <c r="AI841" s="5">
        <f t="shared" si="288"/>
        <v>0.5</v>
      </c>
      <c r="AJ841" s="5">
        <f t="shared" si="289"/>
        <v>0.65302958015267176</v>
      </c>
      <c r="AK841" s="5">
        <f t="shared" si="290"/>
        <v>1.3060591603053435</v>
      </c>
      <c r="AL841" s="5">
        <f t="shared" si="291"/>
        <v>1.9590887404580153</v>
      </c>
      <c r="AM841" s="5">
        <f t="shared" si="292"/>
        <v>0</v>
      </c>
      <c r="AN841" s="5">
        <f t="shared" si="293"/>
        <v>1.9590887404580153</v>
      </c>
      <c r="AO841" s="1" t="s">
        <v>102</v>
      </c>
    </row>
    <row r="842" spans="1:41" x14ac:dyDescent="0.25">
      <c r="A842" s="1" t="s">
        <v>19</v>
      </c>
      <c r="B842" s="1" t="s">
        <v>40</v>
      </c>
      <c r="C842" s="1" t="s">
        <v>21</v>
      </c>
      <c r="D842" s="1" t="s">
        <v>41</v>
      </c>
      <c r="E842" s="1" t="s">
        <v>96</v>
      </c>
      <c r="F842" s="1" t="s">
        <v>103</v>
      </c>
      <c r="G842" s="1" t="s">
        <v>114</v>
      </c>
      <c r="H842" s="1" t="s">
        <v>516</v>
      </c>
      <c r="I842" s="1" t="s">
        <v>105</v>
      </c>
      <c r="J842" s="1" t="s">
        <v>106</v>
      </c>
      <c r="K842" s="1" t="s">
        <v>116</v>
      </c>
      <c r="L842" s="1">
        <v>2676321</v>
      </c>
      <c r="M842" s="1" t="s">
        <v>1007</v>
      </c>
      <c r="N842" s="8">
        <f>DATE(2020,2,10)</f>
        <v>43871</v>
      </c>
      <c r="O842" s="8">
        <f>DATE(2022,12,23)</f>
        <v>44918</v>
      </c>
      <c r="P842" s="1">
        <v>3792</v>
      </c>
      <c r="Q842" s="1">
        <v>1200</v>
      </c>
      <c r="R842" s="1">
        <f t="shared" si="276"/>
        <v>3200</v>
      </c>
      <c r="S842" s="1">
        <v>2.5</v>
      </c>
      <c r="U842" s="1">
        <f t="shared" si="277"/>
        <v>1048</v>
      </c>
      <c r="V842" s="7">
        <f t="shared" si="278"/>
        <v>3.053435114503817</v>
      </c>
      <c r="W842" s="7">
        <f t="shared" si="279"/>
        <v>1114.5038167938933</v>
      </c>
      <c r="X842" s="7">
        <f t="shared" si="280"/>
        <v>1.3931297709923667</v>
      </c>
      <c r="AA842" s="8">
        <f t="shared" si="281"/>
        <v>44927</v>
      </c>
      <c r="AB842" s="8">
        <f t="shared" si="282"/>
        <v>45291</v>
      </c>
      <c r="AC842" s="1">
        <v>15</v>
      </c>
      <c r="AD842" s="1">
        <f t="shared" si="283"/>
        <v>0</v>
      </c>
      <c r="AE842" s="1">
        <f t="shared" si="284"/>
        <v>0</v>
      </c>
      <c r="AF842" s="1">
        <f t="shared" si="285"/>
        <v>0</v>
      </c>
      <c r="AG842" s="1">
        <f t="shared" si="286"/>
        <v>0</v>
      </c>
      <c r="AH842" s="1">
        <f t="shared" si="287"/>
        <v>182.5</v>
      </c>
      <c r="AI842" s="5">
        <f t="shared" si="288"/>
        <v>0.5</v>
      </c>
      <c r="AJ842" s="5">
        <f t="shared" si="289"/>
        <v>0.69656488549618334</v>
      </c>
      <c r="AK842" s="5">
        <f t="shared" si="290"/>
        <v>5.224236641221375</v>
      </c>
      <c r="AL842" s="5">
        <f t="shared" si="291"/>
        <v>13.060591603053437</v>
      </c>
      <c r="AM842" s="5">
        <f t="shared" si="292"/>
        <v>6.5302958015267185</v>
      </c>
      <c r="AN842" s="5">
        <f t="shared" si="293"/>
        <v>19.590887404580155</v>
      </c>
      <c r="AO842" s="1" t="s">
        <v>102</v>
      </c>
    </row>
    <row r="843" spans="1:41" x14ac:dyDescent="0.25">
      <c r="A843" s="1" t="s">
        <v>19</v>
      </c>
      <c r="B843" s="1" t="s">
        <v>40</v>
      </c>
      <c r="C843" s="1" t="s">
        <v>21</v>
      </c>
      <c r="D843" s="1" t="s">
        <v>41</v>
      </c>
      <c r="E843" s="1" t="s">
        <v>96</v>
      </c>
      <c r="F843" s="1" t="s">
        <v>103</v>
      </c>
      <c r="G843" s="1" t="s">
        <v>320</v>
      </c>
      <c r="H843" s="1" t="s">
        <v>456</v>
      </c>
      <c r="I843" s="1" t="s">
        <v>174</v>
      </c>
      <c r="J843" s="1" t="s">
        <v>101</v>
      </c>
      <c r="L843" s="1">
        <v>2678921</v>
      </c>
      <c r="M843" s="1" t="s">
        <v>1008</v>
      </c>
      <c r="N843" s="8">
        <f>DATE(2020,2,10)</f>
        <v>43871</v>
      </c>
      <c r="O843" s="8">
        <f>DATE(2023,12,29)</f>
        <v>45289</v>
      </c>
      <c r="P843" s="1">
        <v>3072</v>
      </c>
      <c r="Q843" s="1">
        <v>3200</v>
      </c>
      <c r="R843" s="1">
        <f t="shared" si="276"/>
        <v>3200</v>
      </c>
      <c r="S843" s="1">
        <v>2.5</v>
      </c>
      <c r="U843" s="1">
        <f t="shared" si="277"/>
        <v>1419</v>
      </c>
      <c r="V843" s="7">
        <f t="shared" si="278"/>
        <v>2.1649048625792813</v>
      </c>
      <c r="W843" s="7">
        <f t="shared" si="279"/>
        <v>790.19027484143771</v>
      </c>
      <c r="X843" s="7">
        <f t="shared" si="280"/>
        <v>0.98773784355179717</v>
      </c>
      <c r="AA843" s="8">
        <f t="shared" si="281"/>
        <v>44927</v>
      </c>
      <c r="AB843" s="8">
        <f t="shared" si="282"/>
        <v>45291</v>
      </c>
      <c r="AC843" s="1">
        <v>15</v>
      </c>
      <c r="AD843" s="1">
        <f t="shared" si="283"/>
        <v>0</v>
      </c>
      <c r="AE843" s="1">
        <f t="shared" si="284"/>
        <v>0</v>
      </c>
      <c r="AF843" s="1">
        <f t="shared" si="285"/>
        <v>363</v>
      </c>
      <c r="AG843" s="1">
        <f t="shared" si="286"/>
        <v>0</v>
      </c>
      <c r="AH843" s="1">
        <f t="shared" si="287"/>
        <v>0</v>
      </c>
      <c r="AI843" s="5">
        <f t="shared" si="288"/>
        <v>0.9945205479452055</v>
      </c>
      <c r="AJ843" s="5">
        <f t="shared" si="289"/>
        <v>0.98232558139534898</v>
      </c>
      <c r="AK843" s="5">
        <f t="shared" si="290"/>
        <v>14.734883720930235</v>
      </c>
      <c r="AL843" s="5">
        <f t="shared" si="291"/>
        <v>36.83720930232559</v>
      </c>
      <c r="AM843" s="5">
        <f t="shared" si="292"/>
        <v>0</v>
      </c>
      <c r="AN843" s="5">
        <f t="shared" si="293"/>
        <v>36.83720930232559</v>
      </c>
      <c r="AO843" s="1" t="s">
        <v>102</v>
      </c>
    </row>
    <row r="844" spans="1:41" x14ac:dyDescent="0.25">
      <c r="A844" s="1" t="s">
        <v>19</v>
      </c>
      <c r="B844" s="1" t="s">
        <v>40</v>
      </c>
      <c r="C844" s="1" t="s">
        <v>21</v>
      </c>
      <c r="D844" s="1" t="s">
        <v>41</v>
      </c>
      <c r="E844" s="1" t="s">
        <v>96</v>
      </c>
      <c r="F844" s="1" t="s">
        <v>103</v>
      </c>
      <c r="G844" s="1" t="s">
        <v>114</v>
      </c>
      <c r="H844" s="1" t="s">
        <v>115</v>
      </c>
      <c r="I844" s="1" t="s">
        <v>100</v>
      </c>
      <c r="J844" s="1" t="s">
        <v>101</v>
      </c>
      <c r="K844" s="1" t="s">
        <v>116</v>
      </c>
      <c r="L844" s="1">
        <v>2759597</v>
      </c>
      <c r="M844" s="1" t="s">
        <v>1009</v>
      </c>
      <c r="N844" s="8">
        <f>DATE(2021,4,12)</f>
        <v>44298</v>
      </c>
      <c r="O844" s="8">
        <f>DATE(2023,12,23)</f>
        <v>45283</v>
      </c>
      <c r="P844" s="1">
        <v>3468</v>
      </c>
      <c r="Q844" s="1">
        <v>800</v>
      </c>
      <c r="R844" s="1">
        <f t="shared" si="276"/>
        <v>3000</v>
      </c>
      <c r="S844" s="1">
        <v>1.5</v>
      </c>
      <c r="U844" s="1">
        <f t="shared" si="277"/>
        <v>986</v>
      </c>
      <c r="V844" s="7">
        <f t="shared" si="278"/>
        <v>3.0425963488843815</v>
      </c>
      <c r="W844" s="7">
        <f t="shared" si="279"/>
        <v>1110.5476673427993</v>
      </c>
      <c r="X844" s="7">
        <f t="shared" si="280"/>
        <v>1.3881845841784992</v>
      </c>
      <c r="AA844" s="8">
        <f t="shared" si="281"/>
        <v>44927</v>
      </c>
      <c r="AB844" s="8">
        <f t="shared" si="282"/>
        <v>45291</v>
      </c>
      <c r="AC844" s="1">
        <v>28</v>
      </c>
      <c r="AD844" s="1">
        <f t="shared" si="283"/>
        <v>0</v>
      </c>
      <c r="AE844" s="1">
        <f t="shared" si="284"/>
        <v>0</v>
      </c>
      <c r="AF844" s="1">
        <f t="shared" si="285"/>
        <v>357</v>
      </c>
      <c r="AG844" s="1">
        <f t="shared" si="286"/>
        <v>0</v>
      </c>
      <c r="AH844" s="1">
        <f t="shared" si="287"/>
        <v>0</v>
      </c>
      <c r="AI844" s="5">
        <f t="shared" si="288"/>
        <v>0.9780821917808219</v>
      </c>
      <c r="AJ844" s="5">
        <f t="shared" si="289"/>
        <v>1.3577586206896555</v>
      </c>
      <c r="AK844" s="5">
        <f t="shared" si="290"/>
        <v>38.017241379310356</v>
      </c>
      <c r="AL844" s="5">
        <f t="shared" si="291"/>
        <v>57.025862068965537</v>
      </c>
      <c r="AM844" s="5">
        <f t="shared" si="292"/>
        <v>0</v>
      </c>
      <c r="AN844" s="5">
        <f t="shared" si="293"/>
        <v>57.025862068965537</v>
      </c>
      <c r="AO844" s="1" t="s">
        <v>102</v>
      </c>
    </row>
    <row r="845" spans="1:41" x14ac:dyDescent="0.25">
      <c r="A845" s="1" t="s">
        <v>19</v>
      </c>
      <c r="B845" s="1" t="s">
        <v>40</v>
      </c>
      <c r="C845" s="1" t="s">
        <v>21</v>
      </c>
      <c r="D845" s="1" t="s">
        <v>41</v>
      </c>
      <c r="E845" s="1" t="s">
        <v>96</v>
      </c>
      <c r="F845" s="1" t="s">
        <v>103</v>
      </c>
      <c r="G845" s="1" t="s">
        <v>114</v>
      </c>
      <c r="H845" s="1" t="s">
        <v>516</v>
      </c>
      <c r="I845" s="1" t="s">
        <v>105</v>
      </c>
      <c r="J845" s="1" t="s">
        <v>106</v>
      </c>
      <c r="K845" s="1" t="s">
        <v>116</v>
      </c>
      <c r="L845" s="1">
        <v>2759598</v>
      </c>
      <c r="M845" s="1" t="s">
        <v>1010</v>
      </c>
      <c r="N845" s="8">
        <f>DATE(2021,4,12)</f>
        <v>44298</v>
      </c>
      <c r="O845" s="8">
        <f>DATE(2023,12,23)</f>
        <v>45283</v>
      </c>
      <c r="P845" s="1">
        <v>3474</v>
      </c>
      <c r="Q845" s="1">
        <v>1200</v>
      </c>
      <c r="R845" s="1">
        <f t="shared" si="276"/>
        <v>3200</v>
      </c>
      <c r="S845" s="1">
        <v>2.5</v>
      </c>
      <c r="U845" s="1">
        <f t="shared" si="277"/>
        <v>986</v>
      </c>
      <c r="V845" s="7">
        <f t="shared" si="278"/>
        <v>3.2454361054766734</v>
      </c>
      <c r="W845" s="7">
        <f t="shared" si="279"/>
        <v>1184.5841784989857</v>
      </c>
      <c r="X845" s="7">
        <f t="shared" si="280"/>
        <v>1.480730223123732</v>
      </c>
      <c r="AA845" s="8">
        <f t="shared" si="281"/>
        <v>44927</v>
      </c>
      <c r="AB845" s="8">
        <f t="shared" si="282"/>
        <v>45291</v>
      </c>
      <c r="AC845" s="1">
        <v>29</v>
      </c>
      <c r="AD845" s="1">
        <f t="shared" si="283"/>
        <v>0</v>
      </c>
      <c r="AE845" s="1">
        <f t="shared" si="284"/>
        <v>0</v>
      </c>
      <c r="AF845" s="1">
        <f t="shared" si="285"/>
        <v>357</v>
      </c>
      <c r="AG845" s="1">
        <f t="shared" si="286"/>
        <v>0</v>
      </c>
      <c r="AH845" s="1">
        <f t="shared" si="287"/>
        <v>0</v>
      </c>
      <c r="AI845" s="5">
        <f t="shared" si="288"/>
        <v>0.9780821917808219</v>
      </c>
      <c r="AJ845" s="5">
        <f t="shared" si="289"/>
        <v>1.4482758620689653</v>
      </c>
      <c r="AK845" s="5">
        <f t="shared" si="290"/>
        <v>41.999999999999993</v>
      </c>
      <c r="AL845" s="5">
        <f t="shared" si="291"/>
        <v>104.99999999999999</v>
      </c>
      <c r="AM845" s="5">
        <f t="shared" si="292"/>
        <v>52.499999999999993</v>
      </c>
      <c r="AN845" s="5">
        <f t="shared" si="293"/>
        <v>157.49999999999997</v>
      </c>
      <c r="AO845" s="1" t="s">
        <v>102</v>
      </c>
    </row>
    <row r="846" spans="1:41" x14ac:dyDescent="0.25">
      <c r="A846" s="1" t="s">
        <v>19</v>
      </c>
      <c r="B846" s="1" t="s">
        <v>40</v>
      </c>
      <c r="C846" s="1" t="s">
        <v>21</v>
      </c>
      <c r="D846" s="1" t="s">
        <v>41</v>
      </c>
      <c r="E846" s="1" t="s">
        <v>96</v>
      </c>
      <c r="F846" s="1" t="s">
        <v>103</v>
      </c>
      <c r="G846" s="1" t="s">
        <v>320</v>
      </c>
      <c r="H846" s="1" t="s">
        <v>456</v>
      </c>
      <c r="I846" s="1" t="s">
        <v>174</v>
      </c>
      <c r="J846" s="1" t="s">
        <v>101</v>
      </c>
      <c r="L846" s="1">
        <v>2776569</v>
      </c>
      <c r="M846" s="1" t="s">
        <v>1011</v>
      </c>
      <c r="N846" s="8">
        <f>DATE(2021,5,1)</f>
        <v>44317</v>
      </c>
      <c r="O846" s="8">
        <f>DATE(2024,12,20)</f>
        <v>45646</v>
      </c>
      <c r="P846" s="1">
        <v>3405</v>
      </c>
      <c r="Q846" s="1">
        <v>3200</v>
      </c>
      <c r="R846" s="1">
        <f t="shared" si="276"/>
        <v>3200</v>
      </c>
      <c r="S846" s="1">
        <v>2.5</v>
      </c>
      <c r="U846" s="1">
        <f t="shared" si="277"/>
        <v>1330</v>
      </c>
      <c r="V846" s="7">
        <f t="shared" si="278"/>
        <v>2.4060150375939848</v>
      </c>
      <c r="W846" s="7">
        <f t="shared" si="279"/>
        <v>878.19548872180451</v>
      </c>
      <c r="X846" s="7">
        <f t="shared" si="280"/>
        <v>1.0977443609022557</v>
      </c>
      <c r="AA846" s="8">
        <f t="shared" si="281"/>
        <v>44927</v>
      </c>
      <c r="AB846" s="8">
        <f t="shared" si="282"/>
        <v>45291</v>
      </c>
      <c r="AC846" s="1">
        <v>17</v>
      </c>
      <c r="AD846" s="1">
        <f t="shared" si="283"/>
        <v>365</v>
      </c>
      <c r="AE846" s="1">
        <f t="shared" si="284"/>
        <v>0</v>
      </c>
      <c r="AF846" s="1">
        <f t="shared" si="285"/>
        <v>0</v>
      </c>
      <c r="AG846" s="1">
        <f t="shared" si="286"/>
        <v>0</v>
      </c>
      <c r="AH846" s="1">
        <f t="shared" si="287"/>
        <v>0</v>
      </c>
      <c r="AI846" s="5">
        <f t="shared" si="288"/>
        <v>1</v>
      </c>
      <c r="AJ846" s="5">
        <f t="shared" si="289"/>
        <v>1.0977443609022557</v>
      </c>
      <c r="AK846" s="5">
        <f t="shared" si="290"/>
        <v>18.661654135338345</v>
      </c>
      <c r="AL846" s="5">
        <f t="shared" si="291"/>
        <v>46.654135338345867</v>
      </c>
      <c r="AM846" s="5">
        <f t="shared" si="292"/>
        <v>0</v>
      </c>
      <c r="AN846" s="5">
        <f t="shared" si="293"/>
        <v>46.654135338345867</v>
      </c>
      <c r="AO846" s="1" t="s">
        <v>102</v>
      </c>
    </row>
    <row r="847" spans="1:41" x14ac:dyDescent="0.25">
      <c r="A847" s="1" t="s">
        <v>19</v>
      </c>
      <c r="B847" s="1" t="s">
        <v>40</v>
      </c>
      <c r="C847" s="1" t="s">
        <v>21</v>
      </c>
      <c r="D847" s="1" t="s">
        <v>41</v>
      </c>
      <c r="E847" s="1" t="s">
        <v>96</v>
      </c>
      <c r="F847" s="1" t="s">
        <v>103</v>
      </c>
      <c r="G847" s="1" t="s">
        <v>114</v>
      </c>
      <c r="H847" s="1" t="s">
        <v>115</v>
      </c>
      <c r="I847" s="1" t="s">
        <v>100</v>
      </c>
      <c r="J847" s="1" t="s">
        <v>101</v>
      </c>
      <c r="K847" s="1" t="s">
        <v>116</v>
      </c>
      <c r="L847" s="1">
        <v>2840867</v>
      </c>
      <c r="M847" s="1" t="s">
        <v>1012</v>
      </c>
      <c r="N847" s="8">
        <f>DATE(2022,1,31)</f>
        <v>44592</v>
      </c>
      <c r="O847" s="8">
        <f>DATE(2024,12,23)</f>
        <v>45649</v>
      </c>
      <c r="P847" s="1">
        <v>3468</v>
      </c>
      <c r="Q847" s="1">
        <v>800</v>
      </c>
      <c r="R847" s="1">
        <f t="shared" si="276"/>
        <v>3000</v>
      </c>
      <c r="S847" s="1">
        <v>1.5</v>
      </c>
      <c r="U847" s="1">
        <f t="shared" si="277"/>
        <v>1058</v>
      </c>
      <c r="V847" s="7">
        <f t="shared" si="278"/>
        <v>2.8355387523629489</v>
      </c>
      <c r="W847" s="7">
        <f t="shared" si="279"/>
        <v>1034.9716446124764</v>
      </c>
      <c r="X847" s="7">
        <f t="shared" si="280"/>
        <v>1.2937145557655956</v>
      </c>
      <c r="AA847" s="8">
        <f t="shared" si="281"/>
        <v>44927</v>
      </c>
      <c r="AB847" s="8">
        <f t="shared" si="282"/>
        <v>45291</v>
      </c>
      <c r="AC847" s="1">
        <v>60</v>
      </c>
      <c r="AD847" s="1">
        <f t="shared" si="283"/>
        <v>365</v>
      </c>
      <c r="AE847" s="1">
        <f t="shared" si="284"/>
        <v>0</v>
      </c>
      <c r="AF847" s="1">
        <f t="shared" si="285"/>
        <v>0</v>
      </c>
      <c r="AG847" s="1">
        <f t="shared" si="286"/>
        <v>0</v>
      </c>
      <c r="AH847" s="1">
        <f t="shared" si="287"/>
        <v>0</v>
      </c>
      <c r="AI847" s="5">
        <f t="shared" si="288"/>
        <v>1</v>
      </c>
      <c r="AJ847" s="5">
        <f t="shared" si="289"/>
        <v>1.2937145557655956</v>
      </c>
      <c r="AK847" s="5">
        <f t="shared" si="290"/>
        <v>77.62287334593573</v>
      </c>
      <c r="AL847" s="5">
        <f t="shared" si="291"/>
        <v>116.4343100189036</v>
      </c>
      <c r="AM847" s="5">
        <f t="shared" si="292"/>
        <v>0</v>
      </c>
      <c r="AN847" s="5">
        <f t="shared" si="293"/>
        <v>116.4343100189036</v>
      </c>
      <c r="AO847" s="1" t="s">
        <v>102</v>
      </c>
    </row>
    <row r="848" spans="1:41" x14ac:dyDescent="0.25">
      <c r="A848" s="1" t="s">
        <v>19</v>
      </c>
      <c r="B848" s="1" t="s">
        <v>40</v>
      </c>
      <c r="C848" s="1" t="s">
        <v>21</v>
      </c>
      <c r="D848" s="1" t="s">
        <v>41</v>
      </c>
      <c r="E848" s="1" t="s">
        <v>96</v>
      </c>
      <c r="F848" s="1" t="s">
        <v>103</v>
      </c>
      <c r="G848" s="1" t="s">
        <v>114</v>
      </c>
      <c r="H848" s="1" t="s">
        <v>516</v>
      </c>
      <c r="I848" s="1" t="s">
        <v>105</v>
      </c>
      <c r="J848" s="1" t="s">
        <v>106</v>
      </c>
      <c r="K848" s="1" t="s">
        <v>116</v>
      </c>
      <c r="L848" s="1">
        <v>2840872</v>
      </c>
      <c r="M848" s="1" t="s">
        <v>1013</v>
      </c>
      <c r="N848" s="8">
        <f>DATE(2022,1,31)</f>
        <v>44592</v>
      </c>
      <c r="O848" s="8">
        <f>DATE(2024,12,23)</f>
        <v>45649</v>
      </c>
      <c r="P848" s="1">
        <v>3792</v>
      </c>
      <c r="Q848" s="1">
        <v>1200</v>
      </c>
      <c r="R848" s="1">
        <f t="shared" si="276"/>
        <v>3200</v>
      </c>
      <c r="S848" s="1">
        <v>2.5</v>
      </c>
      <c r="U848" s="1">
        <f t="shared" si="277"/>
        <v>1058</v>
      </c>
      <c r="V848" s="7">
        <f t="shared" si="278"/>
        <v>3.0245746691871456</v>
      </c>
      <c r="W848" s="7">
        <f t="shared" si="279"/>
        <v>1103.9697542533081</v>
      </c>
      <c r="X848" s="7">
        <f t="shared" si="280"/>
        <v>1.3799621928166352</v>
      </c>
      <c r="AA848" s="8">
        <f t="shared" si="281"/>
        <v>44927</v>
      </c>
      <c r="AB848" s="8">
        <f t="shared" si="282"/>
        <v>45291</v>
      </c>
      <c r="AC848" s="1">
        <v>62</v>
      </c>
      <c r="AD848" s="1">
        <f t="shared" si="283"/>
        <v>365</v>
      </c>
      <c r="AE848" s="1">
        <f t="shared" si="284"/>
        <v>0</v>
      </c>
      <c r="AF848" s="1">
        <f t="shared" si="285"/>
        <v>0</v>
      </c>
      <c r="AG848" s="1">
        <f t="shared" si="286"/>
        <v>0</v>
      </c>
      <c r="AH848" s="1">
        <f t="shared" si="287"/>
        <v>0</v>
      </c>
      <c r="AI848" s="5">
        <f t="shared" si="288"/>
        <v>1</v>
      </c>
      <c r="AJ848" s="5">
        <f t="shared" si="289"/>
        <v>1.3799621928166352</v>
      </c>
      <c r="AK848" s="5">
        <f t="shared" si="290"/>
        <v>85.557655954631386</v>
      </c>
      <c r="AL848" s="5">
        <f t="shared" si="291"/>
        <v>213.89413988657847</v>
      </c>
      <c r="AM848" s="5">
        <f t="shared" si="292"/>
        <v>106.94706994328924</v>
      </c>
      <c r="AN848" s="5">
        <f t="shared" si="293"/>
        <v>320.84120982986769</v>
      </c>
      <c r="AO848" s="1" t="s">
        <v>102</v>
      </c>
    </row>
    <row r="849" spans="1:41" x14ac:dyDescent="0.25">
      <c r="A849" s="1" t="s">
        <v>19</v>
      </c>
      <c r="B849" s="1" t="s">
        <v>40</v>
      </c>
      <c r="C849" s="1" t="s">
        <v>21</v>
      </c>
      <c r="D849" s="1" t="s">
        <v>41</v>
      </c>
      <c r="E849" s="1" t="s">
        <v>96</v>
      </c>
      <c r="F849" s="1" t="s">
        <v>103</v>
      </c>
      <c r="G849" s="1" t="s">
        <v>320</v>
      </c>
      <c r="H849" s="1" t="s">
        <v>456</v>
      </c>
      <c r="I849" s="1" t="s">
        <v>174</v>
      </c>
      <c r="J849" s="1" t="s">
        <v>101</v>
      </c>
      <c r="L849" s="1">
        <v>2840875</v>
      </c>
      <c r="M849" s="1" t="s">
        <v>1014</v>
      </c>
      <c r="N849" s="8">
        <f>DATE(2022,1,31)</f>
        <v>44592</v>
      </c>
      <c r="O849" s="8">
        <f>DATE(2025,12,23)</f>
        <v>46014</v>
      </c>
      <c r="P849" s="1">
        <v>3405</v>
      </c>
      <c r="Q849" s="1">
        <v>3200</v>
      </c>
      <c r="R849" s="1">
        <f t="shared" si="276"/>
        <v>3200</v>
      </c>
      <c r="S849" s="1">
        <v>2.5</v>
      </c>
      <c r="U849" s="1">
        <f t="shared" si="277"/>
        <v>1423</v>
      </c>
      <c r="V849" s="7">
        <f t="shared" si="278"/>
        <v>2.2487702037947996</v>
      </c>
      <c r="W849" s="7">
        <f t="shared" si="279"/>
        <v>820.80112438510184</v>
      </c>
      <c r="X849" s="7">
        <f t="shared" si="280"/>
        <v>1.0260014054813773</v>
      </c>
      <c r="AA849" s="8">
        <f t="shared" si="281"/>
        <v>44927</v>
      </c>
      <c r="AB849" s="8">
        <f t="shared" si="282"/>
        <v>45291</v>
      </c>
      <c r="AC849" s="1">
        <v>18</v>
      </c>
      <c r="AD849" s="1">
        <f t="shared" si="283"/>
        <v>365</v>
      </c>
      <c r="AE849" s="1">
        <f t="shared" si="284"/>
        <v>0</v>
      </c>
      <c r="AF849" s="1">
        <f t="shared" si="285"/>
        <v>0</v>
      </c>
      <c r="AG849" s="1">
        <f t="shared" si="286"/>
        <v>0</v>
      </c>
      <c r="AH849" s="1">
        <f t="shared" si="287"/>
        <v>0</v>
      </c>
      <c r="AI849" s="5">
        <f t="shared" si="288"/>
        <v>1</v>
      </c>
      <c r="AJ849" s="5">
        <f t="shared" si="289"/>
        <v>1.0260014054813773</v>
      </c>
      <c r="AK849" s="5">
        <f t="shared" si="290"/>
        <v>18.468025298664791</v>
      </c>
      <c r="AL849" s="5">
        <f t="shared" si="291"/>
        <v>46.170063246661982</v>
      </c>
      <c r="AM849" s="5">
        <f t="shared" si="292"/>
        <v>0</v>
      </c>
      <c r="AN849" s="5">
        <f t="shared" si="293"/>
        <v>46.170063246661982</v>
      </c>
      <c r="AO849" s="1" t="s">
        <v>102</v>
      </c>
    </row>
    <row r="850" spans="1:41" x14ac:dyDescent="0.25">
      <c r="A850" s="1" t="s">
        <v>19</v>
      </c>
      <c r="B850" s="1" t="s">
        <v>40</v>
      </c>
      <c r="C850" s="1" t="s">
        <v>21</v>
      </c>
      <c r="D850" s="1" t="s">
        <v>41</v>
      </c>
      <c r="E850" s="1" t="s">
        <v>96</v>
      </c>
      <c r="F850" s="1" t="s">
        <v>103</v>
      </c>
      <c r="G850" s="1" t="s">
        <v>114</v>
      </c>
      <c r="H850" s="1" t="s">
        <v>115</v>
      </c>
      <c r="I850" s="1" t="s">
        <v>100</v>
      </c>
      <c r="J850" s="1" t="s">
        <v>101</v>
      </c>
      <c r="K850" s="1" t="s">
        <v>116</v>
      </c>
      <c r="L850" s="1">
        <v>2943435</v>
      </c>
      <c r="M850" s="1" t="s">
        <v>1015</v>
      </c>
      <c r="N850" s="8">
        <f>DATE(2023,1,30)</f>
        <v>44956</v>
      </c>
      <c r="O850" s="8">
        <f>DATE(2025,12,22)</f>
        <v>46013</v>
      </c>
      <c r="P850" s="1">
        <v>3468</v>
      </c>
      <c r="Q850" s="1">
        <v>800</v>
      </c>
      <c r="R850" s="1">
        <f t="shared" si="276"/>
        <v>3000</v>
      </c>
      <c r="S850" s="1">
        <v>1.5</v>
      </c>
      <c r="U850" s="1">
        <f t="shared" si="277"/>
        <v>1058</v>
      </c>
      <c r="V850" s="7">
        <f t="shared" si="278"/>
        <v>2.8355387523629489</v>
      </c>
      <c r="W850" s="7">
        <f t="shared" si="279"/>
        <v>1034.9716446124764</v>
      </c>
      <c r="X850" s="7">
        <f t="shared" si="280"/>
        <v>1.2937145557655956</v>
      </c>
      <c r="AA850" s="8">
        <f t="shared" si="281"/>
        <v>44927</v>
      </c>
      <c r="AB850" s="8">
        <f t="shared" si="282"/>
        <v>45291</v>
      </c>
      <c r="AC850" s="1">
        <v>63</v>
      </c>
      <c r="AD850" s="1">
        <f t="shared" si="283"/>
        <v>0</v>
      </c>
      <c r="AE850" s="1">
        <f t="shared" si="284"/>
        <v>336</v>
      </c>
      <c r="AF850" s="1">
        <f t="shared" si="285"/>
        <v>0</v>
      </c>
      <c r="AG850" s="1">
        <f t="shared" si="286"/>
        <v>0</v>
      </c>
      <c r="AH850" s="1">
        <f t="shared" si="287"/>
        <v>0</v>
      </c>
      <c r="AI850" s="5">
        <f t="shared" si="288"/>
        <v>0.92054794520547945</v>
      </c>
      <c r="AJ850" s="5">
        <f t="shared" si="289"/>
        <v>1.1909262759924386</v>
      </c>
      <c r="AK850" s="5">
        <f t="shared" si="290"/>
        <v>75.028355387523632</v>
      </c>
      <c r="AL850" s="5">
        <f t="shared" si="291"/>
        <v>112.54253308128546</v>
      </c>
      <c r="AM850" s="5">
        <f t="shared" si="292"/>
        <v>0</v>
      </c>
      <c r="AN850" s="5">
        <f t="shared" si="293"/>
        <v>112.54253308128546</v>
      </c>
      <c r="AO850" s="1" t="s">
        <v>102</v>
      </c>
    </row>
    <row r="851" spans="1:41" x14ac:dyDescent="0.25">
      <c r="A851" s="1" t="s">
        <v>19</v>
      </c>
      <c r="B851" s="1" t="s">
        <v>40</v>
      </c>
      <c r="C851" s="1" t="s">
        <v>21</v>
      </c>
      <c r="D851" s="1" t="s">
        <v>41</v>
      </c>
      <c r="E851" s="1" t="s">
        <v>96</v>
      </c>
      <c r="F851" s="1" t="s">
        <v>103</v>
      </c>
      <c r="G851" s="1" t="s">
        <v>114</v>
      </c>
      <c r="H851" s="1" t="s">
        <v>516</v>
      </c>
      <c r="I851" s="1" t="s">
        <v>105</v>
      </c>
      <c r="J851" s="1" t="s">
        <v>106</v>
      </c>
      <c r="K851" s="1" t="s">
        <v>116</v>
      </c>
      <c r="L851" s="1">
        <v>2943439</v>
      </c>
      <c r="M851" s="1" t="s">
        <v>1016</v>
      </c>
      <c r="N851" s="8">
        <f>DATE(2023,1,30)</f>
        <v>44956</v>
      </c>
      <c r="O851" s="8">
        <f>DATE(2025,12,22)</f>
        <v>46013</v>
      </c>
      <c r="P851" s="1">
        <v>3792</v>
      </c>
      <c r="Q851" s="1">
        <v>1200</v>
      </c>
      <c r="R851" s="1">
        <f t="shared" si="276"/>
        <v>3200</v>
      </c>
      <c r="S851" s="1">
        <v>2.5</v>
      </c>
      <c r="U851" s="1">
        <f t="shared" si="277"/>
        <v>1058</v>
      </c>
      <c r="V851" s="7">
        <f t="shared" si="278"/>
        <v>3.0245746691871456</v>
      </c>
      <c r="W851" s="7">
        <f t="shared" si="279"/>
        <v>1103.9697542533081</v>
      </c>
      <c r="X851" s="7">
        <f t="shared" si="280"/>
        <v>1.3799621928166352</v>
      </c>
      <c r="AA851" s="8">
        <f t="shared" si="281"/>
        <v>44927</v>
      </c>
      <c r="AB851" s="8">
        <f t="shared" si="282"/>
        <v>45291</v>
      </c>
      <c r="AC851" s="1">
        <v>62</v>
      </c>
      <c r="AD851" s="1">
        <f t="shared" si="283"/>
        <v>0</v>
      </c>
      <c r="AE851" s="1">
        <f t="shared" si="284"/>
        <v>336</v>
      </c>
      <c r="AF851" s="1">
        <f t="shared" si="285"/>
        <v>0</v>
      </c>
      <c r="AG851" s="1">
        <f t="shared" si="286"/>
        <v>0</v>
      </c>
      <c r="AH851" s="1">
        <f t="shared" si="287"/>
        <v>0</v>
      </c>
      <c r="AI851" s="5">
        <f t="shared" si="288"/>
        <v>0.92054794520547945</v>
      </c>
      <c r="AJ851" s="5">
        <f t="shared" si="289"/>
        <v>1.2703213610586013</v>
      </c>
      <c r="AK851" s="5">
        <f t="shared" si="290"/>
        <v>78.759924385633283</v>
      </c>
      <c r="AL851" s="5">
        <f t="shared" si="291"/>
        <v>196.8998109640832</v>
      </c>
      <c r="AM851" s="5">
        <f t="shared" si="292"/>
        <v>98.449905482041601</v>
      </c>
      <c r="AN851" s="5">
        <f t="shared" si="293"/>
        <v>295.34971644612483</v>
      </c>
      <c r="AO851" s="1" t="s">
        <v>102</v>
      </c>
    </row>
    <row r="852" spans="1:41" x14ac:dyDescent="0.25">
      <c r="A852" s="1" t="s">
        <v>19</v>
      </c>
      <c r="B852" s="1" t="s">
        <v>40</v>
      </c>
      <c r="C852" s="1" t="s">
        <v>21</v>
      </c>
      <c r="D852" s="1" t="s">
        <v>41</v>
      </c>
      <c r="E852" s="1" t="s">
        <v>172</v>
      </c>
      <c r="F852" s="1" t="s">
        <v>103</v>
      </c>
      <c r="G852" s="1" t="s">
        <v>114</v>
      </c>
      <c r="H852" s="1" t="s">
        <v>173</v>
      </c>
      <c r="I852" s="1" t="s">
        <v>174</v>
      </c>
      <c r="J852" s="1" t="s">
        <v>101</v>
      </c>
      <c r="K852" s="1" t="s">
        <v>175</v>
      </c>
      <c r="L852" s="1">
        <v>2957784</v>
      </c>
      <c r="M852" s="1" t="s">
        <v>345</v>
      </c>
      <c r="N852" s="8">
        <f>DATE(2023,4,3)</f>
        <v>45019</v>
      </c>
      <c r="O852" s="8">
        <f>DATE(2024,10,31)</f>
        <v>45596</v>
      </c>
      <c r="P852" s="1">
        <v>1200</v>
      </c>
      <c r="Q852" s="1">
        <v>1200</v>
      </c>
      <c r="R852" s="1">
        <f t="shared" si="276"/>
        <v>1200</v>
      </c>
      <c r="S852" s="1">
        <v>2</v>
      </c>
      <c r="U852" s="1">
        <f t="shared" si="277"/>
        <v>578</v>
      </c>
      <c r="V852" s="7">
        <f t="shared" si="278"/>
        <v>2.0761245674740483</v>
      </c>
      <c r="W852" s="7">
        <f t="shared" si="279"/>
        <v>757.78546712802768</v>
      </c>
      <c r="X852" s="7">
        <f t="shared" si="280"/>
        <v>0.94723183391003463</v>
      </c>
      <c r="AA852" s="8">
        <f t="shared" si="281"/>
        <v>44927</v>
      </c>
      <c r="AB852" s="8">
        <f t="shared" si="282"/>
        <v>45291</v>
      </c>
      <c r="AC852" s="1">
        <v>28</v>
      </c>
      <c r="AD852" s="1">
        <f t="shared" si="283"/>
        <v>0</v>
      </c>
      <c r="AE852" s="1">
        <f t="shared" si="284"/>
        <v>273</v>
      </c>
      <c r="AF852" s="1">
        <f t="shared" si="285"/>
        <v>0</v>
      </c>
      <c r="AG852" s="1">
        <f t="shared" si="286"/>
        <v>0</v>
      </c>
      <c r="AH852" s="1">
        <f t="shared" si="287"/>
        <v>0</v>
      </c>
      <c r="AI852" s="5">
        <f t="shared" si="288"/>
        <v>0.74794520547945209</v>
      </c>
      <c r="AJ852" s="5">
        <f t="shared" si="289"/>
        <v>0.70847750865051906</v>
      </c>
      <c r="AK852" s="5">
        <f t="shared" si="290"/>
        <v>19.837370242214533</v>
      </c>
      <c r="AL852" s="5">
        <f t="shared" si="291"/>
        <v>39.674740484429066</v>
      </c>
      <c r="AM852" s="5">
        <f t="shared" si="292"/>
        <v>0</v>
      </c>
      <c r="AN852" s="5">
        <f t="shared" si="293"/>
        <v>39.674740484429066</v>
      </c>
      <c r="AO852" s="1" t="s">
        <v>122</v>
      </c>
    </row>
    <row r="853" spans="1:41" x14ac:dyDescent="0.25">
      <c r="A853" s="1" t="s">
        <v>19</v>
      </c>
      <c r="B853" s="1" t="s">
        <v>40</v>
      </c>
      <c r="C853" s="1" t="s">
        <v>21</v>
      </c>
      <c r="D853" s="1" t="s">
        <v>41</v>
      </c>
      <c r="E853" s="1" t="s">
        <v>172</v>
      </c>
      <c r="F853" s="1" t="s">
        <v>103</v>
      </c>
      <c r="G853" s="1" t="s">
        <v>114</v>
      </c>
      <c r="H853" s="1" t="s">
        <v>173</v>
      </c>
      <c r="I853" s="1" t="s">
        <v>174</v>
      </c>
      <c r="J853" s="1" t="s">
        <v>101</v>
      </c>
      <c r="K853" s="1" t="s">
        <v>175</v>
      </c>
      <c r="L853" s="1">
        <v>2957785</v>
      </c>
      <c r="M853" s="1" t="s">
        <v>345</v>
      </c>
      <c r="N853" s="8">
        <f>DATE(2023,4,3)</f>
        <v>45019</v>
      </c>
      <c r="O853" s="8">
        <f>DATE(2024,10,31)</f>
        <v>45596</v>
      </c>
      <c r="P853" s="1">
        <v>1200</v>
      </c>
      <c r="Q853" s="1">
        <v>1200</v>
      </c>
      <c r="R853" s="1">
        <f t="shared" si="276"/>
        <v>1200</v>
      </c>
      <c r="S853" s="1">
        <v>2</v>
      </c>
      <c r="U853" s="1">
        <f t="shared" si="277"/>
        <v>578</v>
      </c>
      <c r="V853" s="7">
        <f t="shared" si="278"/>
        <v>2.0761245674740483</v>
      </c>
      <c r="W853" s="7">
        <f t="shared" si="279"/>
        <v>757.78546712802768</v>
      </c>
      <c r="X853" s="7">
        <f t="shared" si="280"/>
        <v>0.94723183391003463</v>
      </c>
      <c r="AA853" s="8">
        <f t="shared" si="281"/>
        <v>44927</v>
      </c>
      <c r="AB853" s="8">
        <f t="shared" si="282"/>
        <v>45291</v>
      </c>
      <c r="AC853" s="1">
        <v>26</v>
      </c>
      <c r="AD853" s="1">
        <f t="shared" si="283"/>
        <v>0</v>
      </c>
      <c r="AE853" s="1">
        <f t="shared" si="284"/>
        <v>273</v>
      </c>
      <c r="AF853" s="1">
        <f t="shared" si="285"/>
        <v>0</v>
      </c>
      <c r="AG853" s="1">
        <f t="shared" si="286"/>
        <v>0</v>
      </c>
      <c r="AH853" s="1">
        <f t="shared" si="287"/>
        <v>0</v>
      </c>
      <c r="AI853" s="5">
        <f t="shared" si="288"/>
        <v>0.74794520547945209</v>
      </c>
      <c r="AJ853" s="5">
        <f t="shared" si="289"/>
        <v>0.70847750865051906</v>
      </c>
      <c r="AK853" s="5">
        <f t="shared" si="290"/>
        <v>18.420415224913494</v>
      </c>
      <c r="AL853" s="5">
        <f t="shared" si="291"/>
        <v>36.840830449826989</v>
      </c>
      <c r="AM853" s="5">
        <f t="shared" si="292"/>
        <v>0</v>
      </c>
      <c r="AN853" s="5">
        <f t="shared" si="293"/>
        <v>36.840830449826989</v>
      </c>
      <c r="AO853" s="1" t="s">
        <v>122</v>
      </c>
    </row>
    <row r="854" spans="1:41" x14ac:dyDescent="0.25">
      <c r="A854" s="1" t="s">
        <v>19</v>
      </c>
      <c r="B854" s="1" t="s">
        <v>40</v>
      </c>
      <c r="C854" s="1" t="s">
        <v>21</v>
      </c>
      <c r="D854" s="1" t="s">
        <v>41</v>
      </c>
      <c r="E854" s="1" t="s">
        <v>172</v>
      </c>
      <c r="F854" s="1" t="s">
        <v>103</v>
      </c>
      <c r="G854" s="1" t="s">
        <v>114</v>
      </c>
      <c r="H854" s="1" t="s">
        <v>179</v>
      </c>
      <c r="I854" s="1" t="s">
        <v>174</v>
      </c>
      <c r="J854" s="1" t="s">
        <v>101</v>
      </c>
      <c r="K854" s="1" t="s">
        <v>175</v>
      </c>
      <c r="L854" s="1">
        <v>2957787</v>
      </c>
      <c r="M854" s="1" t="s">
        <v>347</v>
      </c>
      <c r="N854" s="8">
        <f>DATE(2023,4,3)</f>
        <v>45019</v>
      </c>
      <c r="O854" s="8">
        <f>DATE(2024,10,31)</f>
        <v>45596</v>
      </c>
      <c r="P854" s="1">
        <v>1200</v>
      </c>
      <c r="Q854" s="1">
        <v>800</v>
      </c>
      <c r="R854" s="1">
        <f t="shared" si="276"/>
        <v>800</v>
      </c>
      <c r="S854" s="1">
        <v>1.5</v>
      </c>
      <c r="U854" s="1">
        <f t="shared" si="277"/>
        <v>578</v>
      </c>
      <c r="V854" s="7">
        <f t="shared" si="278"/>
        <v>1.3840830449826989</v>
      </c>
      <c r="W854" s="7">
        <f t="shared" si="279"/>
        <v>505.1903114186851</v>
      </c>
      <c r="X854" s="7">
        <f t="shared" si="280"/>
        <v>0.63148788927335642</v>
      </c>
      <c r="AA854" s="8">
        <f t="shared" si="281"/>
        <v>44927</v>
      </c>
      <c r="AB854" s="8">
        <f t="shared" si="282"/>
        <v>45291</v>
      </c>
      <c r="AC854" s="1">
        <v>23</v>
      </c>
      <c r="AD854" s="1">
        <f t="shared" si="283"/>
        <v>0</v>
      </c>
      <c r="AE854" s="1">
        <f t="shared" si="284"/>
        <v>273</v>
      </c>
      <c r="AF854" s="1">
        <f t="shared" si="285"/>
        <v>0</v>
      </c>
      <c r="AG854" s="1">
        <f t="shared" si="286"/>
        <v>0</v>
      </c>
      <c r="AH854" s="1">
        <f t="shared" si="287"/>
        <v>0</v>
      </c>
      <c r="AI854" s="5">
        <f t="shared" si="288"/>
        <v>0.74794520547945209</v>
      </c>
      <c r="AJ854" s="5">
        <f t="shared" si="289"/>
        <v>0.47231833910034604</v>
      </c>
      <c r="AK854" s="5">
        <f t="shared" si="290"/>
        <v>10.863321799307959</v>
      </c>
      <c r="AL854" s="5">
        <f t="shared" si="291"/>
        <v>16.294982698961938</v>
      </c>
      <c r="AM854" s="5">
        <f t="shared" si="292"/>
        <v>0</v>
      </c>
      <c r="AN854" s="5">
        <f t="shared" si="293"/>
        <v>16.294982698961938</v>
      </c>
      <c r="AO854" s="1" t="s">
        <v>122</v>
      </c>
    </row>
    <row r="855" spans="1:41" x14ac:dyDescent="0.25">
      <c r="A855" s="1" t="s">
        <v>19</v>
      </c>
      <c r="B855" s="1" t="s">
        <v>40</v>
      </c>
      <c r="C855" s="1" t="s">
        <v>21</v>
      </c>
      <c r="D855" s="1" t="s">
        <v>41</v>
      </c>
      <c r="E855" s="1" t="s">
        <v>96</v>
      </c>
      <c r="F855" s="1" t="s">
        <v>103</v>
      </c>
      <c r="G855" s="1" t="s">
        <v>114</v>
      </c>
      <c r="H855" s="1" t="s">
        <v>115</v>
      </c>
      <c r="I855" s="1" t="s">
        <v>100</v>
      </c>
      <c r="J855" s="1" t="s">
        <v>101</v>
      </c>
      <c r="K855" s="1" t="s">
        <v>163</v>
      </c>
      <c r="L855" s="1">
        <v>3070052</v>
      </c>
      <c r="M855" s="1" t="s">
        <v>1017</v>
      </c>
      <c r="N855" s="8">
        <f>DATE(2023,9,19)</f>
        <v>45188</v>
      </c>
      <c r="O855" s="8">
        <f>DATE(2025,12,20)</f>
        <v>46011</v>
      </c>
      <c r="P855" s="1">
        <v>1080</v>
      </c>
      <c r="Q855" s="1">
        <v>800</v>
      </c>
      <c r="R855" s="1">
        <f t="shared" si="276"/>
        <v>800</v>
      </c>
      <c r="S855" s="1">
        <v>1</v>
      </c>
      <c r="U855" s="1">
        <f t="shared" si="277"/>
        <v>824</v>
      </c>
      <c r="V855" s="7">
        <f t="shared" si="278"/>
        <v>0.970873786407767</v>
      </c>
      <c r="W855" s="7">
        <f t="shared" si="279"/>
        <v>354.36893203883494</v>
      </c>
      <c r="X855" s="7">
        <f t="shared" si="280"/>
        <v>0.44296116504854366</v>
      </c>
      <c r="AA855" s="8">
        <f t="shared" si="281"/>
        <v>44927</v>
      </c>
      <c r="AB855" s="8">
        <f t="shared" si="282"/>
        <v>45291</v>
      </c>
      <c r="AC855" s="1">
        <v>35</v>
      </c>
      <c r="AD855" s="1">
        <f t="shared" si="283"/>
        <v>0</v>
      </c>
      <c r="AE855" s="1">
        <f t="shared" si="284"/>
        <v>104</v>
      </c>
      <c r="AF855" s="1">
        <f t="shared" si="285"/>
        <v>0</v>
      </c>
      <c r="AG855" s="1">
        <f t="shared" si="286"/>
        <v>0</v>
      </c>
      <c r="AH855" s="1">
        <f t="shared" si="287"/>
        <v>0</v>
      </c>
      <c r="AI855" s="5">
        <f t="shared" si="288"/>
        <v>0.28493150684931506</v>
      </c>
      <c r="AJ855" s="5">
        <f t="shared" si="289"/>
        <v>0.12621359223300971</v>
      </c>
      <c r="AK855" s="5">
        <f t="shared" si="290"/>
        <v>4.4174757281553401</v>
      </c>
      <c r="AL855" s="5">
        <f t="shared" si="291"/>
        <v>4.4174757281553401</v>
      </c>
      <c r="AM855" s="5">
        <f t="shared" si="292"/>
        <v>0</v>
      </c>
      <c r="AN855" s="5">
        <f t="shared" si="293"/>
        <v>4.4174757281553401</v>
      </c>
      <c r="AO855" s="1" t="s">
        <v>102</v>
      </c>
    </row>
    <row r="856" spans="1:41" x14ac:dyDescent="0.25">
      <c r="A856" s="1" t="s">
        <v>19</v>
      </c>
      <c r="B856" s="1" t="s">
        <v>42</v>
      </c>
      <c r="C856" s="1" t="s">
        <v>21</v>
      </c>
      <c r="D856" s="1" t="s">
        <v>43</v>
      </c>
      <c r="E856" s="1" t="s">
        <v>96</v>
      </c>
      <c r="F856" s="1" t="s">
        <v>103</v>
      </c>
      <c r="G856" s="1" t="s">
        <v>98</v>
      </c>
      <c r="H856" s="1" t="s">
        <v>104</v>
      </c>
      <c r="I856" s="1" t="s">
        <v>105</v>
      </c>
      <c r="J856" s="1" t="s">
        <v>106</v>
      </c>
      <c r="L856" s="1">
        <v>2128651</v>
      </c>
      <c r="M856" s="1" t="s">
        <v>1018</v>
      </c>
      <c r="N856" s="8">
        <f>DATE(2017,2,5)</f>
        <v>42771</v>
      </c>
      <c r="O856" s="8">
        <f>DATE(2021,12,31)</f>
        <v>44561</v>
      </c>
      <c r="P856" s="1">
        <v>4213</v>
      </c>
      <c r="Q856" s="1">
        <v>3600</v>
      </c>
      <c r="R856" s="1">
        <f t="shared" si="276"/>
        <v>3600</v>
      </c>
      <c r="S856" s="1">
        <v>2.5</v>
      </c>
      <c r="U856" s="1">
        <f t="shared" si="277"/>
        <v>1791</v>
      </c>
      <c r="V856" s="7">
        <f t="shared" si="278"/>
        <v>2.0100502512562812</v>
      </c>
      <c r="W856" s="7">
        <f t="shared" si="279"/>
        <v>733.6683417085427</v>
      </c>
      <c r="X856" s="7">
        <f t="shared" si="280"/>
        <v>0.91708542713567842</v>
      </c>
      <c r="AA856" s="8">
        <f t="shared" si="281"/>
        <v>44927</v>
      </c>
      <c r="AB856" s="8">
        <f t="shared" si="282"/>
        <v>45291</v>
      </c>
      <c r="AC856" s="1">
        <v>7</v>
      </c>
      <c r="AD856" s="1">
        <f t="shared" si="283"/>
        <v>0</v>
      </c>
      <c r="AE856" s="1">
        <f t="shared" si="284"/>
        <v>0</v>
      </c>
      <c r="AF856" s="1">
        <f t="shared" si="285"/>
        <v>0</v>
      </c>
      <c r="AG856" s="1">
        <f t="shared" si="286"/>
        <v>0</v>
      </c>
      <c r="AH856" s="1">
        <f t="shared" si="287"/>
        <v>182.5</v>
      </c>
      <c r="AI856" s="5">
        <f t="shared" si="288"/>
        <v>0.5</v>
      </c>
      <c r="AJ856" s="5">
        <f t="shared" si="289"/>
        <v>0.45854271356783921</v>
      </c>
      <c r="AK856" s="5">
        <f t="shared" si="290"/>
        <v>1.6048994974874373</v>
      </c>
      <c r="AL856" s="5">
        <f t="shared" si="291"/>
        <v>4.012248743718593</v>
      </c>
      <c r="AM856" s="5">
        <f t="shared" si="292"/>
        <v>2.0061243718592965</v>
      </c>
      <c r="AN856" s="5">
        <f t="shared" si="293"/>
        <v>6.018373115577889</v>
      </c>
      <c r="AO856" s="1" t="s">
        <v>102</v>
      </c>
    </row>
    <row r="857" spans="1:41" x14ac:dyDescent="0.25">
      <c r="A857" s="1" t="s">
        <v>19</v>
      </c>
      <c r="B857" s="1" t="s">
        <v>42</v>
      </c>
      <c r="C857" s="1" t="s">
        <v>21</v>
      </c>
      <c r="D857" s="1" t="s">
        <v>43</v>
      </c>
      <c r="E857" s="1" t="s">
        <v>96</v>
      </c>
      <c r="F857" s="1" t="s">
        <v>103</v>
      </c>
      <c r="G857" s="1" t="s">
        <v>127</v>
      </c>
      <c r="H857" s="1" t="s">
        <v>360</v>
      </c>
      <c r="I857" s="1" t="s">
        <v>255</v>
      </c>
      <c r="J857" s="1" t="s">
        <v>106</v>
      </c>
      <c r="L857" s="1">
        <v>2128655</v>
      </c>
      <c r="M857" s="1" t="s">
        <v>1019</v>
      </c>
      <c r="N857" s="8">
        <f>DATE(2017,2,5)</f>
        <v>42771</v>
      </c>
      <c r="O857" s="8">
        <f>DATE(2019,12,31)</f>
        <v>43830</v>
      </c>
      <c r="P857" s="1">
        <v>2406</v>
      </c>
      <c r="Q857" s="1">
        <v>2400</v>
      </c>
      <c r="R857" s="1">
        <f t="shared" si="276"/>
        <v>2400</v>
      </c>
      <c r="S857" s="1">
        <v>2.5</v>
      </c>
      <c r="U857" s="1">
        <f t="shared" si="277"/>
        <v>1060</v>
      </c>
      <c r="V857" s="7">
        <f t="shared" si="278"/>
        <v>2.2641509433962264</v>
      </c>
      <c r="W857" s="7">
        <f t="shared" si="279"/>
        <v>826.41509433962267</v>
      </c>
      <c r="X857" s="7">
        <f t="shared" si="280"/>
        <v>1.0330188679245282</v>
      </c>
      <c r="AA857" s="8">
        <f t="shared" si="281"/>
        <v>44927</v>
      </c>
      <c r="AB857" s="8">
        <f t="shared" si="282"/>
        <v>45291</v>
      </c>
      <c r="AC857" s="1">
        <v>0</v>
      </c>
      <c r="AD857" s="1">
        <f t="shared" si="283"/>
        <v>0</v>
      </c>
      <c r="AE857" s="1">
        <f t="shared" si="284"/>
        <v>0</v>
      </c>
      <c r="AF857" s="1">
        <f t="shared" si="285"/>
        <v>0</v>
      </c>
      <c r="AG857" s="1">
        <f t="shared" si="286"/>
        <v>0</v>
      </c>
      <c r="AH857" s="1">
        <f t="shared" si="287"/>
        <v>182.5</v>
      </c>
      <c r="AI857" s="5">
        <f t="shared" si="288"/>
        <v>0.5</v>
      </c>
      <c r="AJ857" s="5">
        <f t="shared" si="289"/>
        <v>0.51650943396226412</v>
      </c>
      <c r="AK857" s="5">
        <f t="shared" si="290"/>
        <v>0</v>
      </c>
      <c r="AL857" s="5">
        <f t="shared" si="291"/>
        <v>0</v>
      </c>
      <c r="AM857" s="5">
        <f t="shared" si="292"/>
        <v>0</v>
      </c>
      <c r="AN857" s="5">
        <f t="shared" si="293"/>
        <v>0</v>
      </c>
      <c r="AO857" s="1" t="s">
        <v>102</v>
      </c>
    </row>
    <row r="858" spans="1:41" x14ac:dyDescent="0.25">
      <c r="A858" s="1" t="s">
        <v>19</v>
      </c>
      <c r="B858" s="1" t="s">
        <v>42</v>
      </c>
      <c r="C858" s="1" t="s">
        <v>21</v>
      </c>
      <c r="D858" s="1" t="s">
        <v>43</v>
      </c>
      <c r="E858" s="1" t="s">
        <v>96</v>
      </c>
      <c r="F858" s="1" t="s">
        <v>103</v>
      </c>
      <c r="G858" s="1" t="s">
        <v>98</v>
      </c>
      <c r="H858" s="1" t="s">
        <v>104</v>
      </c>
      <c r="I858" s="1" t="s">
        <v>105</v>
      </c>
      <c r="J858" s="1" t="s">
        <v>106</v>
      </c>
      <c r="L858" s="1">
        <v>2496209</v>
      </c>
      <c r="M858" s="1" t="s">
        <v>1020</v>
      </c>
      <c r="N858" s="8">
        <f>DATE(2018,2,19)</f>
        <v>43150</v>
      </c>
      <c r="O858" s="8">
        <f>DATE(2022,12,31)</f>
        <v>44926</v>
      </c>
      <c r="P858" s="1">
        <v>4213</v>
      </c>
      <c r="Q858" s="1">
        <v>3600</v>
      </c>
      <c r="R858" s="1">
        <f t="shared" si="276"/>
        <v>3600</v>
      </c>
      <c r="S858" s="1">
        <v>2.5</v>
      </c>
      <c r="U858" s="1">
        <f t="shared" si="277"/>
        <v>1777</v>
      </c>
      <c r="V858" s="7">
        <f t="shared" si="278"/>
        <v>2.0258863252673045</v>
      </c>
      <c r="W858" s="7">
        <f t="shared" si="279"/>
        <v>739.44850872256609</v>
      </c>
      <c r="X858" s="7">
        <f t="shared" si="280"/>
        <v>0.92431063590320761</v>
      </c>
      <c r="AA858" s="8">
        <f t="shared" si="281"/>
        <v>44927</v>
      </c>
      <c r="AB858" s="8">
        <f t="shared" si="282"/>
        <v>45291</v>
      </c>
      <c r="AC858" s="1">
        <v>17</v>
      </c>
      <c r="AD858" s="1">
        <f t="shared" si="283"/>
        <v>0</v>
      </c>
      <c r="AE858" s="1">
        <f t="shared" si="284"/>
        <v>0</v>
      </c>
      <c r="AF858" s="1">
        <f t="shared" si="285"/>
        <v>0</v>
      </c>
      <c r="AG858" s="1">
        <f t="shared" si="286"/>
        <v>0</v>
      </c>
      <c r="AH858" s="1">
        <f t="shared" si="287"/>
        <v>182.5</v>
      </c>
      <c r="AI858" s="5">
        <f t="shared" si="288"/>
        <v>0.5</v>
      </c>
      <c r="AJ858" s="5">
        <f t="shared" si="289"/>
        <v>0.46215531795160381</v>
      </c>
      <c r="AK858" s="5">
        <f t="shared" si="290"/>
        <v>3.9283202025886323</v>
      </c>
      <c r="AL858" s="5">
        <f t="shared" si="291"/>
        <v>9.8208005064715813</v>
      </c>
      <c r="AM858" s="5">
        <f t="shared" si="292"/>
        <v>4.9104002532357907</v>
      </c>
      <c r="AN858" s="5">
        <f t="shared" si="293"/>
        <v>14.731200759707372</v>
      </c>
      <c r="AO858" s="1" t="s">
        <v>102</v>
      </c>
    </row>
    <row r="859" spans="1:41" x14ac:dyDescent="0.25">
      <c r="A859" s="1" t="s">
        <v>19</v>
      </c>
      <c r="B859" s="1" t="s">
        <v>42</v>
      </c>
      <c r="C859" s="1" t="s">
        <v>21</v>
      </c>
      <c r="D859" s="1" t="s">
        <v>43</v>
      </c>
      <c r="E859" s="1" t="s">
        <v>96</v>
      </c>
      <c r="F859" s="1" t="s">
        <v>103</v>
      </c>
      <c r="G859" s="1" t="s">
        <v>320</v>
      </c>
      <c r="H859" s="1" t="s">
        <v>491</v>
      </c>
      <c r="I859" s="1" t="s">
        <v>174</v>
      </c>
      <c r="J859" s="1" t="s">
        <v>101</v>
      </c>
      <c r="L859" s="1">
        <v>2496277</v>
      </c>
      <c r="M859" s="1" t="s">
        <v>1021</v>
      </c>
      <c r="N859" s="8">
        <f>DATE(2018,2,19)</f>
        <v>43150</v>
      </c>
      <c r="O859" s="8">
        <f>DATE(2021,12,31)</f>
        <v>44561</v>
      </c>
      <c r="P859" s="1">
        <v>3212</v>
      </c>
      <c r="Q859" s="1">
        <v>3200</v>
      </c>
      <c r="R859" s="1">
        <f t="shared" si="276"/>
        <v>3200</v>
      </c>
      <c r="S859" s="1">
        <v>2.5</v>
      </c>
      <c r="U859" s="1">
        <f t="shared" si="277"/>
        <v>1412</v>
      </c>
      <c r="V859" s="7">
        <f t="shared" si="278"/>
        <v>2.2662889518413598</v>
      </c>
      <c r="W859" s="7">
        <f t="shared" si="279"/>
        <v>827.19546742209639</v>
      </c>
      <c r="X859" s="7">
        <f t="shared" si="280"/>
        <v>1.0339943342776206</v>
      </c>
      <c r="AA859" s="8">
        <f t="shared" si="281"/>
        <v>44927</v>
      </c>
      <c r="AB859" s="8">
        <f t="shared" si="282"/>
        <v>45291</v>
      </c>
      <c r="AC859" s="1">
        <v>10</v>
      </c>
      <c r="AD859" s="1">
        <f t="shared" si="283"/>
        <v>0</v>
      </c>
      <c r="AE859" s="1">
        <f t="shared" si="284"/>
        <v>0</v>
      </c>
      <c r="AF859" s="1">
        <f t="shared" si="285"/>
        <v>0</v>
      </c>
      <c r="AG859" s="1">
        <f t="shared" si="286"/>
        <v>0</v>
      </c>
      <c r="AH859" s="1">
        <f t="shared" si="287"/>
        <v>182.5</v>
      </c>
      <c r="AI859" s="5">
        <f t="shared" si="288"/>
        <v>0.5</v>
      </c>
      <c r="AJ859" s="5">
        <f t="shared" si="289"/>
        <v>0.51699716713881028</v>
      </c>
      <c r="AK859" s="5">
        <f t="shared" si="290"/>
        <v>2.5849858356940514</v>
      </c>
      <c r="AL859" s="5">
        <f t="shared" si="291"/>
        <v>6.4624645892351289</v>
      </c>
      <c r="AM859" s="5">
        <f t="shared" si="292"/>
        <v>0</v>
      </c>
      <c r="AN859" s="5">
        <f t="shared" si="293"/>
        <v>6.4624645892351289</v>
      </c>
      <c r="AO859" s="1" t="s">
        <v>102</v>
      </c>
    </row>
    <row r="860" spans="1:41" x14ac:dyDescent="0.25">
      <c r="A860" s="1" t="s">
        <v>19</v>
      </c>
      <c r="B860" s="1" t="s">
        <v>42</v>
      </c>
      <c r="C860" s="1" t="s">
        <v>21</v>
      </c>
      <c r="D860" s="1" t="s">
        <v>43</v>
      </c>
      <c r="E860" s="1" t="s">
        <v>96</v>
      </c>
      <c r="F860" s="1" t="s">
        <v>103</v>
      </c>
      <c r="G860" s="1" t="s">
        <v>127</v>
      </c>
      <c r="H860" s="1" t="s">
        <v>360</v>
      </c>
      <c r="I860" s="1" t="s">
        <v>255</v>
      </c>
      <c r="J860" s="1" t="s">
        <v>106</v>
      </c>
      <c r="L860" s="1">
        <v>2496330</v>
      </c>
      <c r="M860" s="1" t="s">
        <v>1022</v>
      </c>
      <c r="N860" s="8">
        <f>DATE(2018,2,19)</f>
        <v>43150</v>
      </c>
      <c r="O860" s="8">
        <f>DATE(2020,12,31)</f>
        <v>44196</v>
      </c>
      <c r="P860" s="1">
        <v>2406</v>
      </c>
      <c r="Q860" s="1">
        <v>2400</v>
      </c>
      <c r="R860" s="1">
        <f t="shared" si="276"/>
        <v>2400</v>
      </c>
      <c r="S860" s="1">
        <v>2.5</v>
      </c>
      <c r="U860" s="1">
        <f t="shared" si="277"/>
        <v>1047</v>
      </c>
      <c r="V860" s="7">
        <f t="shared" si="278"/>
        <v>2.2922636103151861</v>
      </c>
      <c r="W860" s="7">
        <f t="shared" si="279"/>
        <v>836.67621776504291</v>
      </c>
      <c r="X860" s="7">
        <f t="shared" si="280"/>
        <v>1.0458452722063036</v>
      </c>
      <c r="AA860" s="8">
        <f t="shared" si="281"/>
        <v>44927</v>
      </c>
      <c r="AB860" s="8">
        <f t="shared" si="282"/>
        <v>45291</v>
      </c>
      <c r="AC860" s="1">
        <v>4</v>
      </c>
      <c r="AD860" s="1">
        <f t="shared" si="283"/>
        <v>0</v>
      </c>
      <c r="AE860" s="1">
        <f t="shared" si="284"/>
        <v>0</v>
      </c>
      <c r="AF860" s="1">
        <f t="shared" si="285"/>
        <v>0</v>
      </c>
      <c r="AG860" s="1">
        <f t="shared" si="286"/>
        <v>0</v>
      </c>
      <c r="AH860" s="1">
        <f t="shared" si="287"/>
        <v>182.5</v>
      </c>
      <c r="AI860" s="5">
        <f t="shared" si="288"/>
        <v>0.5</v>
      </c>
      <c r="AJ860" s="5">
        <f t="shared" si="289"/>
        <v>0.52292263610315182</v>
      </c>
      <c r="AK860" s="5">
        <f t="shared" si="290"/>
        <v>1.0458452722063036</v>
      </c>
      <c r="AL860" s="5">
        <f t="shared" si="291"/>
        <v>2.6146131805157591</v>
      </c>
      <c r="AM860" s="5">
        <f t="shared" si="292"/>
        <v>1.3073065902578795</v>
      </c>
      <c r="AN860" s="5">
        <f t="shared" si="293"/>
        <v>3.9219197707736386</v>
      </c>
      <c r="AO860" s="1" t="s">
        <v>102</v>
      </c>
    </row>
    <row r="861" spans="1:41" x14ac:dyDescent="0.25">
      <c r="A861" s="1" t="s">
        <v>19</v>
      </c>
      <c r="B861" s="1" t="s">
        <v>42</v>
      </c>
      <c r="C861" s="1" t="s">
        <v>21</v>
      </c>
      <c r="D861" s="1" t="s">
        <v>43</v>
      </c>
      <c r="E861" s="1" t="s">
        <v>96</v>
      </c>
      <c r="F861" s="1" t="s">
        <v>103</v>
      </c>
      <c r="G861" s="1" t="s">
        <v>114</v>
      </c>
      <c r="H861" s="1" t="s">
        <v>119</v>
      </c>
      <c r="I861" s="1" t="s">
        <v>105</v>
      </c>
      <c r="J861" s="1" t="s">
        <v>106</v>
      </c>
      <c r="K861" s="1" t="s">
        <v>116</v>
      </c>
      <c r="L861" s="1">
        <v>2571274</v>
      </c>
      <c r="M861" s="1" t="s">
        <v>472</v>
      </c>
      <c r="N861" s="8">
        <f>DATE(2019,2,4)</f>
        <v>43500</v>
      </c>
      <c r="O861" s="8">
        <f>DATE(2021,12,31)</f>
        <v>44561</v>
      </c>
      <c r="P861" s="1">
        <v>3826</v>
      </c>
      <c r="Q861" s="1">
        <v>1200</v>
      </c>
      <c r="R861" s="1">
        <f t="shared" si="276"/>
        <v>3200</v>
      </c>
      <c r="S861" s="1">
        <v>2.5</v>
      </c>
      <c r="U861" s="1">
        <f t="shared" si="277"/>
        <v>1062</v>
      </c>
      <c r="V861" s="7">
        <f t="shared" si="278"/>
        <v>3.0131826741996233</v>
      </c>
      <c r="W861" s="7">
        <f t="shared" si="279"/>
        <v>1099.8116760828625</v>
      </c>
      <c r="X861" s="7">
        <f t="shared" si="280"/>
        <v>1.3747645951035781</v>
      </c>
      <c r="AA861" s="8">
        <f t="shared" si="281"/>
        <v>44927</v>
      </c>
      <c r="AB861" s="8">
        <f t="shared" si="282"/>
        <v>45291</v>
      </c>
      <c r="AC861" s="1">
        <v>6</v>
      </c>
      <c r="AD861" s="1">
        <f t="shared" si="283"/>
        <v>0</v>
      </c>
      <c r="AE861" s="1">
        <f t="shared" si="284"/>
        <v>0</v>
      </c>
      <c r="AF861" s="1">
        <f t="shared" si="285"/>
        <v>0</v>
      </c>
      <c r="AG861" s="1">
        <f t="shared" si="286"/>
        <v>0</v>
      </c>
      <c r="AH861" s="1">
        <f t="shared" si="287"/>
        <v>182.5</v>
      </c>
      <c r="AI861" s="5">
        <f t="shared" si="288"/>
        <v>0.5</v>
      </c>
      <c r="AJ861" s="5">
        <f t="shared" si="289"/>
        <v>0.68738229755178903</v>
      </c>
      <c r="AK861" s="5">
        <f t="shared" si="290"/>
        <v>2.0621468926553672</v>
      </c>
      <c r="AL861" s="5">
        <f t="shared" si="291"/>
        <v>5.1553672316384178</v>
      </c>
      <c r="AM861" s="5">
        <f t="shared" si="292"/>
        <v>2.5776836158192089</v>
      </c>
      <c r="AN861" s="5">
        <f t="shared" si="293"/>
        <v>7.7330508474576263</v>
      </c>
      <c r="AO861" s="1" t="s">
        <v>102</v>
      </c>
    </row>
    <row r="862" spans="1:41" x14ac:dyDescent="0.25">
      <c r="A862" s="1" t="s">
        <v>19</v>
      </c>
      <c r="B862" s="1" t="s">
        <v>42</v>
      </c>
      <c r="C862" s="1" t="s">
        <v>21</v>
      </c>
      <c r="D862" s="1" t="s">
        <v>43</v>
      </c>
      <c r="E862" s="1" t="s">
        <v>96</v>
      </c>
      <c r="F862" s="1" t="s">
        <v>103</v>
      </c>
      <c r="G862" s="1" t="s">
        <v>320</v>
      </c>
      <c r="H862" s="1" t="s">
        <v>491</v>
      </c>
      <c r="I862" s="1" t="s">
        <v>174</v>
      </c>
      <c r="J862" s="1" t="s">
        <v>101</v>
      </c>
      <c r="L862" s="1">
        <v>2571275</v>
      </c>
      <c r="M862" s="1" t="s">
        <v>1023</v>
      </c>
      <c r="N862" s="8">
        <f>DATE(2019,2,4)</f>
        <v>43500</v>
      </c>
      <c r="O862" s="8">
        <f>DATE(2022,12,31)</f>
        <v>44926</v>
      </c>
      <c r="P862" s="1">
        <v>3212</v>
      </c>
      <c r="Q862" s="1">
        <v>3200</v>
      </c>
      <c r="R862" s="1">
        <f t="shared" si="276"/>
        <v>3200</v>
      </c>
      <c r="S862" s="1">
        <v>2.5</v>
      </c>
      <c r="U862" s="1">
        <f t="shared" si="277"/>
        <v>1427</v>
      </c>
      <c r="V862" s="7">
        <f t="shared" si="278"/>
        <v>2.2424667133847231</v>
      </c>
      <c r="W862" s="7">
        <f t="shared" si="279"/>
        <v>818.50035038542399</v>
      </c>
      <c r="X862" s="7">
        <f t="shared" si="280"/>
        <v>1.02312543798178</v>
      </c>
      <c r="AA862" s="8">
        <f t="shared" si="281"/>
        <v>44927</v>
      </c>
      <c r="AB862" s="8">
        <f t="shared" si="282"/>
        <v>45291</v>
      </c>
      <c r="AC862" s="1">
        <v>17</v>
      </c>
      <c r="AD862" s="1">
        <f t="shared" si="283"/>
        <v>0</v>
      </c>
      <c r="AE862" s="1">
        <f t="shared" si="284"/>
        <v>0</v>
      </c>
      <c r="AF862" s="1">
        <f t="shared" si="285"/>
        <v>0</v>
      </c>
      <c r="AG862" s="1">
        <f t="shared" si="286"/>
        <v>0</v>
      </c>
      <c r="AH862" s="1">
        <f t="shared" si="287"/>
        <v>182.5</v>
      </c>
      <c r="AI862" s="5">
        <f t="shared" si="288"/>
        <v>0.5</v>
      </c>
      <c r="AJ862" s="5">
        <f t="shared" si="289"/>
        <v>0.51156271899089001</v>
      </c>
      <c r="AK862" s="5">
        <f t="shared" si="290"/>
        <v>4.3482831114225649</v>
      </c>
      <c r="AL862" s="5">
        <f t="shared" si="291"/>
        <v>10.870707778556412</v>
      </c>
      <c r="AM862" s="5">
        <f t="shared" si="292"/>
        <v>0</v>
      </c>
      <c r="AN862" s="5">
        <f t="shared" si="293"/>
        <v>10.870707778556412</v>
      </c>
      <c r="AO862" s="1" t="s">
        <v>102</v>
      </c>
    </row>
    <row r="863" spans="1:41" x14ac:dyDescent="0.25">
      <c r="A863" s="1" t="s">
        <v>19</v>
      </c>
      <c r="B863" s="1" t="s">
        <v>42</v>
      </c>
      <c r="C863" s="1" t="s">
        <v>21</v>
      </c>
      <c r="D863" s="1" t="s">
        <v>43</v>
      </c>
      <c r="E863" s="1" t="s">
        <v>96</v>
      </c>
      <c r="F863" s="1" t="s">
        <v>103</v>
      </c>
      <c r="G863" s="1" t="s">
        <v>98</v>
      </c>
      <c r="H863" s="1" t="s">
        <v>104</v>
      </c>
      <c r="I863" s="1" t="s">
        <v>105</v>
      </c>
      <c r="J863" s="1" t="s">
        <v>106</v>
      </c>
      <c r="L863" s="1">
        <v>2571278</v>
      </c>
      <c r="M863" s="1" t="s">
        <v>1024</v>
      </c>
      <c r="N863" s="8">
        <f>DATE(2019,2,4)</f>
        <v>43500</v>
      </c>
      <c r="O863" s="8">
        <f>DATE(2023,12,31)</f>
        <v>45291</v>
      </c>
      <c r="P863" s="1">
        <v>4213</v>
      </c>
      <c r="Q863" s="1">
        <v>3600</v>
      </c>
      <c r="R863" s="1">
        <f t="shared" si="276"/>
        <v>3600</v>
      </c>
      <c r="S863" s="1">
        <v>2.5</v>
      </c>
      <c r="U863" s="1">
        <f t="shared" si="277"/>
        <v>1792</v>
      </c>
      <c r="V863" s="7">
        <f t="shared" si="278"/>
        <v>2.0089285714285716</v>
      </c>
      <c r="W863" s="7">
        <f t="shared" si="279"/>
        <v>733.25892857142867</v>
      </c>
      <c r="X863" s="7">
        <f t="shared" si="280"/>
        <v>0.91657366071428581</v>
      </c>
      <c r="AA863" s="8">
        <f t="shared" si="281"/>
        <v>44927</v>
      </c>
      <c r="AB863" s="8">
        <f t="shared" si="282"/>
        <v>45291</v>
      </c>
      <c r="AC863" s="1">
        <v>14</v>
      </c>
      <c r="AD863" s="1">
        <f t="shared" si="283"/>
        <v>0</v>
      </c>
      <c r="AE863" s="1">
        <f t="shared" si="284"/>
        <v>0</v>
      </c>
      <c r="AF863" s="1">
        <f t="shared" si="285"/>
        <v>365</v>
      </c>
      <c r="AG863" s="1">
        <f t="shared" si="286"/>
        <v>0</v>
      </c>
      <c r="AH863" s="1">
        <f t="shared" si="287"/>
        <v>0</v>
      </c>
      <c r="AI863" s="5">
        <f t="shared" si="288"/>
        <v>1</v>
      </c>
      <c r="AJ863" s="5">
        <f t="shared" si="289"/>
        <v>0.91657366071428581</v>
      </c>
      <c r="AK863" s="5">
        <f t="shared" si="290"/>
        <v>12.832031250000002</v>
      </c>
      <c r="AL863" s="5">
        <f t="shared" si="291"/>
        <v>32.080078125000007</v>
      </c>
      <c r="AM863" s="5">
        <f t="shared" si="292"/>
        <v>16.040039062500004</v>
      </c>
      <c r="AN863" s="5">
        <f t="shared" si="293"/>
        <v>48.120117187500014</v>
      </c>
      <c r="AO863" s="1" t="s">
        <v>102</v>
      </c>
    </row>
    <row r="864" spans="1:41" x14ac:dyDescent="0.25">
      <c r="A864" s="1" t="s">
        <v>19</v>
      </c>
      <c r="B864" s="1" t="s">
        <v>42</v>
      </c>
      <c r="C864" s="1" t="s">
        <v>21</v>
      </c>
      <c r="D864" s="1" t="s">
        <v>43</v>
      </c>
      <c r="E864" s="1" t="s">
        <v>96</v>
      </c>
      <c r="F864" s="1" t="s">
        <v>103</v>
      </c>
      <c r="G864" s="1" t="s">
        <v>127</v>
      </c>
      <c r="H864" s="1" t="s">
        <v>360</v>
      </c>
      <c r="I864" s="1" t="s">
        <v>255</v>
      </c>
      <c r="J864" s="1" t="s">
        <v>106</v>
      </c>
      <c r="L864" s="1">
        <v>2571279</v>
      </c>
      <c r="M864" s="1" t="s">
        <v>1025</v>
      </c>
      <c r="N864" s="8">
        <f>DATE(2019,2,4)</f>
        <v>43500</v>
      </c>
      <c r="O864" s="8">
        <f>DATE(2021,12,31)</f>
        <v>44561</v>
      </c>
      <c r="P864" s="1">
        <v>2406</v>
      </c>
      <c r="Q864" s="1">
        <v>2400</v>
      </c>
      <c r="R864" s="1">
        <f t="shared" si="276"/>
        <v>2400</v>
      </c>
      <c r="S864" s="1">
        <v>2.5</v>
      </c>
      <c r="U864" s="1">
        <f t="shared" si="277"/>
        <v>1062</v>
      </c>
      <c r="V864" s="7">
        <f t="shared" si="278"/>
        <v>2.2598870056497176</v>
      </c>
      <c r="W864" s="7">
        <f t="shared" si="279"/>
        <v>824.85875706214688</v>
      </c>
      <c r="X864" s="7">
        <f t="shared" si="280"/>
        <v>1.0310734463276836</v>
      </c>
      <c r="AA864" s="8">
        <f t="shared" si="281"/>
        <v>44927</v>
      </c>
      <c r="AB864" s="8">
        <f t="shared" si="282"/>
        <v>45291</v>
      </c>
      <c r="AC864" s="1">
        <v>13</v>
      </c>
      <c r="AD864" s="1">
        <f t="shared" si="283"/>
        <v>0</v>
      </c>
      <c r="AE864" s="1">
        <f t="shared" si="284"/>
        <v>0</v>
      </c>
      <c r="AF864" s="1">
        <f t="shared" si="285"/>
        <v>0</v>
      </c>
      <c r="AG864" s="1">
        <f t="shared" si="286"/>
        <v>0</v>
      </c>
      <c r="AH864" s="1">
        <f t="shared" si="287"/>
        <v>182.5</v>
      </c>
      <c r="AI864" s="5">
        <f t="shared" si="288"/>
        <v>0.5</v>
      </c>
      <c r="AJ864" s="5">
        <f t="shared" si="289"/>
        <v>0.5155367231638418</v>
      </c>
      <c r="AK864" s="5">
        <f t="shared" si="290"/>
        <v>3.3509887005649719</v>
      </c>
      <c r="AL864" s="5">
        <f t="shared" si="291"/>
        <v>8.3774717514124291</v>
      </c>
      <c r="AM864" s="5">
        <f t="shared" si="292"/>
        <v>4.1887358757062145</v>
      </c>
      <c r="AN864" s="5">
        <f t="shared" si="293"/>
        <v>12.566207627118644</v>
      </c>
      <c r="AO864" s="1" t="s">
        <v>102</v>
      </c>
    </row>
    <row r="865" spans="1:41" x14ac:dyDescent="0.25">
      <c r="A865" s="1" t="s">
        <v>19</v>
      </c>
      <c r="B865" s="1" t="s">
        <v>42</v>
      </c>
      <c r="C865" s="1" t="s">
        <v>21</v>
      </c>
      <c r="D865" s="1" t="s">
        <v>43</v>
      </c>
      <c r="E865" s="1" t="s">
        <v>96</v>
      </c>
      <c r="F865" s="1" t="s">
        <v>103</v>
      </c>
      <c r="G865" s="1" t="s">
        <v>114</v>
      </c>
      <c r="H865" s="1" t="s">
        <v>119</v>
      </c>
      <c r="I865" s="1" t="s">
        <v>105</v>
      </c>
      <c r="J865" s="1" t="s">
        <v>106</v>
      </c>
      <c r="K865" s="1" t="s">
        <v>116</v>
      </c>
      <c r="L865" s="1">
        <v>2681133</v>
      </c>
      <c r="M865" s="1" t="s">
        <v>479</v>
      </c>
      <c r="N865" s="8">
        <f>DATE(2020,2,3)</f>
        <v>43864</v>
      </c>
      <c r="O865" s="8">
        <f>DATE(2022,12,31)</f>
        <v>44926</v>
      </c>
      <c r="P865" s="1">
        <v>3826</v>
      </c>
      <c r="Q865" s="1">
        <v>1200</v>
      </c>
      <c r="R865" s="1">
        <f t="shared" si="276"/>
        <v>3200</v>
      </c>
      <c r="S865" s="1">
        <v>2.5</v>
      </c>
      <c r="U865" s="1">
        <f t="shared" si="277"/>
        <v>1063</v>
      </c>
      <c r="V865" s="7">
        <f t="shared" si="278"/>
        <v>3.0103480714957667</v>
      </c>
      <c r="W865" s="7">
        <f t="shared" si="279"/>
        <v>1098.7770460959548</v>
      </c>
      <c r="X865" s="7">
        <f t="shared" si="280"/>
        <v>1.3734713076199434</v>
      </c>
      <c r="AA865" s="8">
        <f t="shared" si="281"/>
        <v>44927</v>
      </c>
      <c r="AB865" s="8">
        <f t="shared" si="282"/>
        <v>45291</v>
      </c>
      <c r="AC865" s="1">
        <v>7</v>
      </c>
      <c r="AD865" s="1">
        <f t="shared" si="283"/>
        <v>0</v>
      </c>
      <c r="AE865" s="1">
        <f t="shared" si="284"/>
        <v>0</v>
      </c>
      <c r="AF865" s="1">
        <f t="shared" si="285"/>
        <v>0</v>
      </c>
      <c r="AG865" s="1">
        <f t="shared" si="286"/>
        <v>0</v>
      </c>
      <c r="AH865" s="1">
        <f t="shared" si="287"/>
        <v>182.5</v>
      </c>
      <c r="AI865" s="5">
        <f t="shared" si="288"/>
        <v>0.5</v>
      </c>
      <c r="AJ865" s="5">
        <f t="shared" si="289"/>
        <v>0.6867356538099717</v>
      </c>
      <c r="AK865" s="5">
        <f t="shared" si="290"/>
        <v>2.4035747883349008</v>
      </c>
      <c r="AL865" s="5">
        <f t="shared" si="291"/>
        <v>6.0089369708372518</v>
      </c>
      <c r="AM865" s="5">
        <f t="shared" si="292"/>
        <v>3.0044684854186259</v>
      </c>
      <c r="AN865" s="5">
        <f t="shared" si="293"/>
        <v>9.0134054562558781</v>
      </c>
      <c r="AO865" s="1" t="s">
        <v>102</v>
      </c>
    </row>
    <row r="866" spans="1:41" x14ac:dyDescent="0.25">
      <c r="A866" s="1" t="s">
        <v>19</v>
      </c>
      <c r="B866" s="1" t="s">
        <v>42</v>
      </c>
      <c r="C866" s="1" t="s">
        <v>21</v>
      </c>
      <c r="D866" s="1" t="s">
        <v>43</v>
      </c>
      <c r="E866" s="1" t="s">
        <v>96</v>
      </c>
      <c r="F866" s="1" t="s">
        <v>103</v>
      </c>
      <c r="G866" s="1" t="s">
        <v>320</v>
      </c>
      <c r="H866" s="1" t="s">
        <v>491</v>
      </c>
      <c r="I866" s="1" t="s">
        <v>174</v>
      </c>
      <c r="J866" s="1" t="s">
        <v>101</v>
      </c>
      <c r="L866" s="1">
        <v>2688496</v>
      </c>
      <c r="M866" s="1" t="s">
        <v>1026</v>
      </c>
      <c r="N866" s="8">
        <f>DATE(2020,2,3)</f>
        <v>43864</v>
      </c>
      <c r="O866" s="8">
        <f>DATE(2023,12,31)</f>
        <v>45291</v>
      </c>
      <c r="P866" s="1">
        <v>3212</v>
      </c>
      <c r="Q866" s="1">
        <v>3200</v>
      </c>
      <c r="R866" s="1">
        <f t="shared" si="276"/>
        <v>3200</v>
      </c>
      <c r="S866" s="1">
        <v>2.5</v>
      </c>
      <c r="U866" s="1">
        <f t="shared" si="277"/>
        <v>1428</v>
      </c>
      <c r="V866" s="7">
        <f t="shared" si="278"/>
        <v>2.2408963585434174</v>
      </c>
      <c r="W866" s="7">
        <f t="shared" si="279"/>
        <v>817.92717086834739</v>
      </c>
      <c r="X866" s="7">
        <f t="shared" si="280"/>
        <v>1.0224089635854343</v>
      </c>
      <c r="AA866" s="8">
        <f t="shared" si="281"/>
        <v>44927</v>
      </c>
      <c r="AB866" s="8">
        <f t="shared" si="282"/>
        <v>45291</v>
      </c>
      <c r="AC866" s="1">
        <v>9</v>
      </c>
      <c r="AD866" s="1">
        <f t="shared" si="283"/>
        <v>0</v>
      </c>
      <c r="AE866" s="1">
        <f t="shared" si="284"/>
        <v>0</v>
      </c>
      <c r="AF866" s="1">
        <f t="shared" si="285"/>
        <v>365</v>
      </c>
      <c r="AG866" s="1">
        <f t="shared" si="286"/>
        <v>0</v>
      </c>
      <c r="AH866" s="1">
        <f t="shared" si="287"/>
        <v>0</v>
      </c>
      <c r="AI866" s="5">
        <f t="shared" si="288"/>
        <v>1</v>
      </c>
      <c r="AJ866" s="5">
        <f t="shared" si="289"/>
        <v>1.0224089635854343</v>
      </c>
      <c r="AK866" s="5">
        <f t="shared" si="290"/>
        <v>9.2016806722689086</v>
      </c>
      <c r="AL866" s="5">
        <f t="shared" si="291"/>
        <v>23.004201680672271</v>
      </c>
      <c r="AM866" s="5">
        <f t="shared" si="292"/>
        <v>0</v>
      </c>
      <c r="AN866" s="5">
        <f t="shared" si="293"/>
        <v>23.004201680672271</v>
      </c>
      <c r="AO866" s="1" t="s">
        <v>102</v>
      </c>
    </row>
    <row r="867" spans="1:41" x14ac:dyDescent="0.25">
      <c r="A867" s="1" t="s">
        <v>19</v>
      </c>
      <c r="B867" s="1" t="s">
        <v>42</v>
      </c>
      <c r="C867" s="1" t="s">
        <v>21</v>
      </c>
      <c r="D867" s="1" t="s">
        <v>43</v>
      </c>
      <c r="E867" s="1" t="s">
        <v>96</v>
      </c>
      <c r="F867" s="1" t="s">
        <v>103</v>
      </c>
      <c r="G867" s="1" t="s">
        <v>98</v>
      </c>
      <c r="H867" s="1" t="s">
        <v>104</v>
      </c>
      <c r="I867" s="1" t="s">
        <v>105</v>
      </c>
      <c r="J867" s="1" t="s">
        <v>106</v>
      </c>
      <c r="L867" s="1">
        <v>2688503</v>
      </c>
      <c r="M867" s="1" t="s">
        <v>1027</v>
      </c>
      <c r="N867" s="8">
        <f>DATE(2020,2,3)</f>
        <v>43864</v>
      </c>
      <c r="O867" s="8">
        <f>DATE(2024,12,31)</f>
        <v>45657</v>
      </c>
      <c r="P867" s="1">
        <v>4213</v>
      </c>
      <c r="Q867" s="1">
        <v>3600</v>
      </c>
      <c r="R867" s="1">
        <f t="shared" si="276"/>
        <v>3600</v>
      </c>
      <c r="S867" s="1">
        <v>2.5</v>
      </c>
      <c r="U867" s="1">
        <f t="shared" si="277"/>
        <v>1794</v>
      </c>
      <c r="V867" s="7">
        <f t="shared" si="278"/>
        <v>2.0066889632107023</v>
      </c>
      <c r="W867" s="7">
        <f t="shared" si="279"/>
        <v>732.44147157190639</v>
      </c>
      <c r="X867" s="7">
        <f t="shared" si="280"/>
        <v>0.91555183946488294</v>
      </c>
      <c r="AA867" s="8">
        <f t="shared" si="281"/>
        <v>44927</v>
      </c>
      <c r="AB867" s="8">
        <f t="shared" si="282"/>
        <v>45291</v>
      </c>
      <c r="AC867" s="1">
        <v>10</v>
      </c>
      <c r="AD867" s="1">
        <f t="shared" si="283"/>
        <v>365</v>
      </c>
      <c r="AE867" s="1">
        <f t="shared" si="284"/>
        <v>0</v>
      </c>
      <c r="AF867" s="1">
        <f t="shared" si="285"/>
        <v>0</v>
      </c>
      <c r="AG867" s="1">
        <f t="shared" si="286"/>
        <v>0</v>
      </c>
      <c r="AH867" s="1">
        <f t="shared" si="287"/>
        <v>0</v>
      </c>
      <c r="AI867" s="5">
        <f t="shared" si="288"/>
        <v>1</v>
      </c>
      <c r="AJ867" s="5">
        <f t="shared" si="289"/>
        <v>0.91555183946488294</v>
      </c>
      <c r="AK867" s="5">
        <f t="shared" si="290"/>
        <v>9.1555183946488299</v>
      </c>
      <c r="AL867" s="5">
        <f t="shared" si="291"/>
        <v>22.888795986622075</v>
      </c>
      <c r="AM867" s="5">
        <f t="shared" si="292"/>
        <v>11.444397993311037</v>
      </c>
      <c r="AN867" s="5">
        <f t="shared" si="293"/>
        <v>34.333193979933114</v>
      </c>
      <c r="AO867" s="1" t="s">
        <v>102</v>
      </c>
    </row>
    <row r="868" spans="1:41" x14ac:dyDescent="0.25">
      <c r="A868" s="1" t="s">
        <v>19</v>
      </c>
      <c r="B868" s="1" t="s">
        <v>42</v>
      </c>
      <c r="C868" s="1" t="s">
        <v>21</v>
      </c>
      <c r="D868" s="1" t="s">
        <v>43</v>
      </c>
      <c r="E868" s="1" t="s">
        <v>96</v>
      </c>
      <c r="F868" s="1" t="s">
        <v>103</v>
      </c>
      <c r="G868" s="1" t="s">
        <v>127</v>
      </c>
      <c r="H868" s="1" t="s">
        <v>360</v>
      </c>
      <c r="I868" s="1" t="s">
        <v>255</v>
      </c>
      <c r="J868" s="1" t="s">
        <v>106</v>
      </c>
      <c r="L868" s="1">
        <v>2688504</v>
      </c>
      <c r="M868" s="1" t="s">
        <v>1028</v>
      </c>
      <c r="N868" s="8">
        <f>DATE(2020,2,3)</f>
        <v>43864</v>
      </c>
      <c r="O868" s="8">
        <f>DATE(2022,12,31)</f>
        <v>44926</v>
      </c>
      <c r="P868" s="1">
        <v>2406</v>
      </c>
      <c r="Q868" s="1">
        <v>2400</v>
      </c>
      <c r="R868" s="1">
        <f t="shared" si="276"/>
        <v>2400</v>
      </c>
      <c r="S868" s="1">
        <v>2.5</v>
      </c>
      <c r="U868" s="1">
        <f t="shared" si="277"/>
        <v>1063</v>
      </c>
      <c r="V868" s="7">
        <f t="shared" si="278"/>
        <v>2.2577610536218251</v>
      </c>
      <c r="W868" s="7">
        <f t="shared" si="279"/>
        <v>824.08278457196616</v>
      </c>
      <c r="X868" s="7">
        <f t="shared" si="280"/>
        <v>1.0301034807149576</v>
      </c>
      <c r="AA868" s="8">
        <f t="shared" si="281"/>
        <v>44927</v>
      </c>
      <c r="AB868" s="8">
        <f t="shared" si="282"/>
        <v>45291</v>
      </c>
      <c r="AC868" s="1">
        <v>17</v>
      </c>
      <c r="AD868" s="1">
        <f t="shared" si="283"/>
        <v>0</v>
      </c>
      <c r="AE868" s="1">
        <f t="shared" si="284"/>
        <v>0</v>
      </c>
      <c r="AF868" s="1">
        <f t="shared" si="285"/>
        <v>0</v>
      </c>
      <c r="AG868" s="1">
        <f t="shared" si="286"/>
        <v>0</v>
      </c>
      <c r="AH868" s="1">
        <f t="shared" si="287"/>
        <v>182.5</v>
      </c>
      <c r="AI868" s="5">
        <f t="shared" si="288"/>
        <v>0.5</v>
      </c>
      <c r="AJ868" s="5">
        <f t="shared" si="289"/>
        <v>0.5150517403574788</v>
      </c>
      <c r="AK868" s="5">
        <f t="shared" si="290"/>
        <v>4.3779397930385695</v>
      </c>
      <c r="AL868" s="5">
        <f t="shared" si="291"/>
        <v>10.944849482596425</v>
      </c>
      <c r="AM868" s="5">
        <f t="shared" si="292"/>
        <v>5.4724247412982123</v>
      </c>
      <c r="AN868" s="5">
        <f t="shared" si="293"/>
        <v>16.417274223894637</v>
      </c>
      <c r="AO868" s="1" t="s">
        <v>102</v>
      </c>
    </row>
    <row r="869" spans="1:41" x14ac:dyDescent="0.25">
      <c r="A869" s="1" t="s">
        <v>19</v>
      </c>
      <c r="B869" s="1" t="s">
        <v>42</v>
      </c>
      <c r="C869" s="1" t="s">
        <v>21</v>
      </c>
      <c r="D869" s="1" t="s">
        <v>43</v>
      </c>
      <c r="E869" s="1" t="s">
        <v>172</v>
      </c>
      <c r="F869" s="1" t="s">
        <v>103</v>
      </c>
      <c r="G869" s="1" t="s">
        <v>185</v>
      </c>
      <c r="H869" s="1" t="s">
        <v>227</v>
      </c>
      <c r="I869" s="1" t="s">
        <v>228</v>
      </c>
      <c r="J869" s="1" t="s">
        <v>101</v>
      </c>
      <c r="L869" s="1">
        <v>2765655</v>
      </c>
      <c r="M869" s="1" t="s">
        <v>1029</v>
      </c>
      <c r="N869" s="8">
        <f>DATE(2021,3,1)</f>
        <v>44256</v>
      </c>
      <c r="O869" s="8">
        <f>DATE(2022,4,1)</f>
        <v>44652</v>
      </c>
      <c r="P869" s="1">
        <v>500</v>
      </c>
      <c r="Q869" s="1">
        <v>360</v>
      </c>
      <c r="R869" s="1">
        <f t="shared" si="276"/>
        <v>360</v>
      </c>
      <c r="S869" s="1">
        <v>2.5</v>
      </c>
      <c r="U869" s="1">
        <f t="shared" si="277"/>
        <v>397</v>
      </c>
      <c r="V869" s="7">
        <f t="shared" si="278"/>
        <v>0.90680100755667503</v>
      </c>
      <c r="W869" s="7">
        <f t="shared" si="279"/>
        <v>330.9823677581864</v>
      </c>
      <c r="X869" s="7">
        <f t="shared" si="280"/>
        <v>0.41372795969773302</v>
      </c>
      <c r="AA869" s="8">
        <f t="shared" si="281"/>
        <v>44927</v>
      </c>
      <c r="AB869" s="8">
        <f t="shared" si="282"/>
        <v>45291</v>
      </c>
      <c r="AC869" s="1">
        <v>159</v>
      </c>
      <c r="AD869" s="1">
        <f t="shared" si="283"/>
        <v>0</v>
      </c>
      <c r="AE869" s="1">
        <f t="shared" si="284"/>
        <v>0</v>
      </c>
      <c r="AF869" s="1">
        <f t="shared" si="285"/>
        <v>0</v>
      </c>
      <c r="AG869" s="1">
        <f t="shared" si="286"/>
        <v>0</v>
      </c>
      <c r="AH869" s="1">
        <f t="shared" si="287"/>
        <v>182.5</v>
      </c>
      <c r="AI869" s="5">
        <f t="shared" si="288"/>
        <v>0.5</v>
      </c>
      <c r="AJ869" s="5">
        <f t="shared" si="289"/>
        <v>0.20686397984886651</v>
      </c>
      <c r="AK869" s="5">
        <f t="shared" si="290"/>
        <v>16.445686397984886</v>
      </c>
      <c r="AL869" s="5">
        <f t="shared" si="291"/>
        <v>41.114215994962215</v>
      </c>
      <c r="AM869" s="5">
        <f t="shared" si="292"/>
        <v>0</v>
      </c>
      <c r="AN869" s="5">
        <f t="shared" si="293"/>
        <v>41.114215994962215</v>
      </c>
      <c r="AO869" s="1" t="s">
        <v>122</v>
      </c>
    </row>
    <row r="870" spans="1:41" x14ac:dyDescent="0.25">
      <c r="A870" s="1" t="s">
        <v>19</v>
      </c>
      <c r="B870" s="1" t="s">
        <v>42</v>
      </c>
      <c r="C870" s="1" t="s">
        <v>21</v>
      </c>
      <c r="D870" s="1" t="s">
        <v>43</v>
      </c>
      <c r="E870" s="1" t="s">
        <v>96</v>
      </c>
      <c r="F870" s="1" t="s">
        <v>103</v>
      </c>
      <c r="G870" s="1" t="s">
        <v>114</v>
      </c>
      <c r="H870" s="1" t="s">
        <v>119</v>
      </c>
      <c r="I870" s="1" t="s">
        <v>105</v>
      </c>
      <c r="J870" s="1" t="s">
        <v>106</v>
      </c>
      <c r="K870" s="1" t="s">
        <v>116</v>
      </c>
      <c r="L870" s="1">
        <v>2768348</v>
      </c>
      <c r="M870" s="1" t="s">
        <v>1030</v>
      </c>
      <c r="N870" s="8">
        <f>DATE(2021,4,5)</f>
        <v>44291</v>
      </c>
      <c r="O870" s="8">
        <f>DATE(2023,12,31)</f>
        <v>45291</v>
      </c>
      <c r="P870" s="1">
        <v>3826</v>
      </c>
      <c r="Q870" s="1">
        <v>1200</v>
      </c>
      <c r="R870" s="1">
        <f t="shared" si="276"/>
        <v>3200</v>
      </c>
      <c r="S870" s="1">
        <v>2.5</v>
      </c>
      <c r="U870" s="1">
        <f t="shared" si="277"/>
        <v>1001</v>
      </c>
      <c r="V870" s="7">
        <f t="shared" si="278"/>
        <v>3.1968031968031969</v>
      </c>
      <c r="W870" s="7">
        <f t="shared" si="279"/>
        <v>1166.8331668331668</v>
      </c>
      <c r="X870" s="7">
        <f t="shared" si="280"/>
        <v>1.4585414585414584</v>
      </c>
      <c r="AA870" s="8">
        <f t="shared" si="281"/>
        <v>44927</v>
      </c>
      <c r="AB870" s="8">
        <f t="shared" si="282"/>
        <v>45291</v>
      </c>
      <c r="AC870" s="1">
        <v>58</v>
      </c>
      <c r="AD870" s="1">
        <f t="shared" si="283"/>
        <v>0</v>
      </c>
      <c r="AE870" s="1">
        <f t="shared" si="284"/>
        <v>0</v>
      </c>
      <c r="AF870" s="1">
        <f t="shared" si="285"/>
        <v>365</v>
      </c>
      <c r="AG870" s="1">
        <f t="shared" si="286"/>
        <v>0</v>
      </c>
      <c r="AH870" s="1">
        <f t="shared" si="287"/>
        <v>0</v>
      </c>
      <c r="AI870" s="5">
        <f t="shared" si="288"/>
        <v>1</v>
      </c>
      <c r="AJ870" s="5">
        <f t="shared" si="289"/>
        <v>1.4585414585414584</v>
      </c>
      <c r="AK870" s="5">
        <f t="shared" si="290"/>
        <v>84.595404595404588</v>
      </c>
      <c r="AL870" s="5">
        <f t="shared" si="291"/>
        <v>211.48851148851148</v>
      </c>
      <c r="AM870" s="5">
        <f t="shared" si="292"/>
        <v>105.74425574425574</v>
      </c>
      <c r="AN870" s="5">
        <f t="shared" si="293"/>
        <v>317.23276723276723</v>
      </c>
      <c r="AO870" s="1" t="s">
        <v>102</v>
      </c>
    </row>
    <row r="871" spans="1:41" x14ac:dyDescent="0.25">
      <c r="A871" s="1" t="s">
        <v>19</v>
      </c>
      <c r="B871" s="1" t="s">
        <v>42</v>
      </c>
      <c r="C871" s="1" t="s">
        <v>21</v>
      </c>
      <c r="D871" s="1" t="s">
        <v>43</v>
      </c>
      <c r="E871" s="1" t="s">
        <v>96</v>
      </c>
      <c r="F871" s="1" t="s">
        <v>103</v>
      </c>
      <c r="G871" s="1" t="s">
        <v>127</v>
      </c>
      <c r="H871" s="1" t="s">
        <v>360</v>
      </c>
      <c r="I871" s="1" t="s">
        <v>255</v>
      </c>
      <c r="J871" s="1" t="s">
        <v>106</v>
      </c>
      <c r="L871" s="1">
        <v>2768762</v>
      </c>
      <c r="M871" s="1" t="s">
        <v>1031</v>
      </c>
      <c r="N871" s="8">
        <f>DATE(2021,4,5)</f>
        <v>44291</v>
      </c>
      <c r="O871" s="8">
        <f>DATE(2023,12,31)</f>
        <v>45291</v>
      </c>
      <c r="P871" s="1">
        <v>2406</v>
      </c>
      <c r="Q871" s="1">
        <v>2400</v>
      </c>
      <c r="R871" s="1">
        <f t="shared" si="276"/>
        <v>2400</v>
      </c>
      <c r="S871" s="1">
        <v>2.5</v>
      </c>
      <c r="U871" s="1">
        <f t="shared" si="277"/>
        <v>1001</v>
      </c>
      <c r="V871" s="7">
        <f t="shared" si="278"/>
        <v>2.3976023976023977</v>
      </c>
      <c r="W871" s="7">
        <f t="shared" si="279"/>
        <v>875.12487512487519</v>
      </c>
      <c r="X871" s="7">
        <f t="shared" si="280"/>
        <v>1.0939060939060941</v>
      </c>
      <c r="AA871" s="8">
        <f t="shared" si="281"/>
        <v>44927</v>
      </c>
      <c r="AB871" s="8">
        <f t="shared" si="282"/>
        <v>45291</v>
      </c>
      <c r="AC871" s="1">
        <v>17</v>
      </c>
      <c r="AD871" s="1">
        <f t="shared" si="283"/>
        <v>0</v>
      </c>
      <c r="AE871" s="1">
        <f t="shared" si="284"/>
        <v>0</v>
      </c>
      <c r="AF871" s="1">
        <f t="shared" si="285"/>
        <v>365</v>
      </c>
      <c r="AG871" s="1">
        <f t="shared" si="286"/>
        <v>0</v>
      </c>
      <c r="AH871" s="1">
        <f t="shared" si="287"/>
        <v>0</v>
      </c>
      <c r="AI871" s="5">
        <f t="shared" si="288"/>
        <v>1</v>
      </c>
      <c r="AJ871" s="5">
        <f t="shared" si="289"/>
        <v>1.0939060939060941</v>
      </c>
      <c r="AK871" s="5">
        <f t="shared" si="290"/>
        <v>18.596403596403597</v>
      </c>
      <c r="AL871" s="5">
        <f t="shared" si="291"/>
        <v>46.491008991008997</v>
      </c>
      <c r="AM871" s="5">
        <f t="shared" si="292"/>
        <v>23.245504495504498</v>
      </c>
      <c r="AN871" s="5">
        <f t="shared" si="293"/>
        <v>69.736513486513502</v>
      </c>
      <c r="AO871" s="1" t="s">
        <v>102</v>
      </c>
    </row>
    <row r="872" spans="1:41" x14ac:dyDescent="0.25">
      <c r="A872" s="1" t="s">
        <v>19</v>
      </c>
      <c r="B872" s="1" t="s">
        <v>42</v>
      </c>
      <c r="C872" s="1" t="s">
        <v>21</v>
      </c>
      <c r="D872" s="1" t="s">
        <v>43</v>
      </c>
      <c r="E872" s="1" t="s">
        <v>96</v>
      </c>
      <c r="F872" s="1" t="s">
        <v>103</v>
      </c>
      <c r="G872" s="1" t="s">
        <v>98</v>
      </c>
      <c r="H872" s="1" t="s">
        <v>104</v>
      </c>
      <c r="I872" s="1" t="s">
        <v>105</v>
      </c>
      <c r="J872" s="1" t="s">
        <v>106</v>
      </c>
      <c r="L872" s="1">
        <v>2768767</v>
      </c>
      <c r="M872" s="1" t="s">
        <v>1032</v>
      </c>
      <c r="N872" s="8">
        <f>DATE(2021,4,5)</f>
        <v>44291</v>
      </c>
      <c r="O872" s="8">
        <f>DATE(2025,12,31)</f>
        <v>46022</v>
      </c>
      <c r="P872" s="1">
        <v>4213</v>
      </c>
      <c r="Q872" s="1">
        <v>3600</v>
      </c>
      <c r="R872" s="1">
        <f t="shared" si="276"/>
        <v>3600</v>
      </c>
      <c r="S872" s="1">
        <v>2.5</v>
      </c>
      <c r="U872" s="1">
        <f t="shared" si="277"/>
        <v>1732</v>
      </c>
      <c r="V872" s="7">
        <f t="shared" si="278"/>
        <v>2.0785219399538106</v>
      </c>
      <c r="W872" s="7">
        <f t="shared" si="279"/>
        <v>758.66050808314083</v>
      </c>
      <c r="X872" s="7">
        <f t="shared" si="280"/>
        <v>0.94832563510392598</v>
      </c>
      <c r="AA872" s="8">
        <f t="shared" si="281"/>
        <v>44927</v>
      </c>
      <c r="AB872" s="8">
        <f t="shared" si="282"/>
        <v>45291</v>
      </c>
      <c r="AC872" s="1">
        <v>11</v>
      </c>
      <c r="AD872" s="1">
        <f t="shared" si="283"/>
        <v>365</v>
      </c>
      <c r="AE872" s="1">
        <f t="shared" si="284"/>
        <v>0</v>
      </c>
      <c r="AF872" s="1">
        <f t="shared" si="285"/>
        <v>0</v>
      </c>
      <c r="AG872" s="1">
        <f t="shared" si="286"/>
        <v>0</v>
      </c>
      <c r="AH872" s="1">
        <f t="shared" si="287"/>
        <v>0</v>
      </c>
      <c r="AI872" s="5">
        <f t="shared" si="288"/>
        <v>1</v>
      </c>
      <c r="AJ872" s="5">
        <f t="shared" si="289"/>
        <v>0.94832563510392598</v>
      </c>
      <c r="AK872" s="5">
        <f t="shared" si="290"/>
        <v>10.431581986143186</v>
      </c>
      <c r="AL872" s="5">
        <f t="shared" si="291"/>
        <v>26.078954965357966</v>
      </c>
      <c r="AM872" s="5">
        <f t="shared" si="292"/>
        <v>13.039477482678983</v>
      </c>
      <c r="AN872" s="5">
        <f t="shared" si="293"/>
        <v>39.118432448036948</v>
      </c>
      <c r="AO872" s="1" t="s">
        <v>102</v>
      </c>
    </row>
    <row r="873" spans="1:41" x14ac:dyDescent="0.25">
      <c r="A873" s="1" t="s">
        <v>19</v>
      </c>
      <c r="B873" s="1" t="s">
        <v>42</v>
      </c>
      <c r="C873" s="1" t="s">
        <v>21</v>
      </c>
      <c r="D873" s="1" t="s">
        <v>43</v>
      </c>
      <c r="E873" s="1" t="s">
        <v>96</v>
      </c>
      <c r="F873" s="1" t="s">
        <v>103</v>
      </c>
      <c r="G873" s="1" t="s">
        <v>320</v>
      </c>
      <c r="H873" s="1" t="s">
        <v>491</v>
      </c>
      <c r="I873" s="1" t="s">
        <v>174</v>
      </c>
      <c r="J873" s="1" t="s">
        <v>101</v>
      </c>
      <c r="L873" s="1">
        <v>2768769</v>
      </c>
      <c r="M873" s="1" t="s">
        <v>1033</v>
      </c>
      <c r="N873" s="8">
        <f>DATE(2021,4,5)</f>
        <v>44291</v>
      </c>
      <c r="O873" s="8">
        <f>DATE(2024,12,31)</f>
        <v>45657</v>
      </c>
      <c r="P873" s="1">
        <v>3212</v>
      </c>
      <c r="Q873" s="1">
        <v>3200</v>
      </c>
      <c r="R873" s="1">
        <f t="shared" si="276"/>
        <v>3200</v>
      </c>
      <c r="S873" s="1">
        <v>2.5</v>
      </c>
      <c r="U873" s="1">
        <f t="shared" si="277"/>
        <v>1367</v>
      </c>
      <c r="V873" s="7">
        <f t="shared" si="278"/>
        <v>2.3408924652523773</v>
      </c>
      <c r="W873" s="7">
        <f t="shared" si="279"/>
        <v>854.42574981711766</v>
      </c>
      <c r="X873" s="7">
        <f t="shared" si="280"/>
        <v>1.0680321872713971</v>
      </c>
      <c r="AA873" s="8">
        <f t="shared" si="281"/>
        <v>44927</v>
      </c>
      <c r="AB873" s="8">
        <f t="shared" si="282"/>
        <v>45291</v>
      </c>
      <c r="AC873" s="1">
        <v>23</v>
      </c>
      <c r="AD873" s="1">
        <f t="shared" si="283"/>
        <v>365</v>
      </c>
      <c r="AE873" s="1">
        <f t="shared" si="284"/>
        <v>0</v>
      </c>
      <c r="AF873" s="1">
        <f t="shared" si="285"/>
        <v>0</v>
      </c>
      <c r="AG873" s="1">
        <f t="shared" si="286"/>
        <v>0</v>
      </c>
      <c r="AH873" s="1">
        <f t="shared" si="287"/>
        <v>0</v>
      </c>
      <c r="AI873" s="5">
        <f t="shared" si="288"/>
        <v>1</v>
      </c>
      <c r="AJ873" s="5">
        <f t="shared" si="289"/>
        <v>1.0680321872713971</v>
      </c>
      <c r="AK873" s="5">
        <f t="shared" si="290"/>
        <v>24.564740307242133</v>
      </c>
      <c r="AL873" s="5">
        <f t="shared" si="291"/>
        <v>61.411850768105332</v>
      </c>
      <c r="AM873" s="5">
        <f t="shared" si="292"/>
        <v>0</v>
      </c>
      <c r="AN873" s="5">
        <f t="shared" si="293"/>
        <v>61.411850768105332</v>
      </c>
      <c r="AO873" s="1" t="s">
        <v>102</v>
      </c>
    </row>
    <row r="874" spans="1:41" x14ac:dyDescent="0.25">
      <c r="A874" s="1" t="s">
        <v>19</v>
      </c>
      <c r="B874" s="1" t="s">
        <v>42</v>
      </c>
      <c r="C874" s="1" t="s">
        <v>21</v>
      </c>
      <c r="D874" s="1" t="s">
        <v>43</v>
      </c>
      <c r="E874" s="1" t="s">
        <v>96</v>
      </c>
      <c r="F874" s="1" t="s">
        <v>103</v>
      </c>
      <c r="G874" s="1" t="s">
        <v>114</v>
      </c>
      <c r="H874" s="1" t="s">
        <v>119</v>
      </c>
      <c r="I874" s="1" t="s">
        <v>105</v>
      </c>
      <c r="J874" s="1" t="s">
        <v>106</v>
      </c>
      <c r="K874" s="1" t="s">
        <v>116</v>
      </c>
      <c r="L874" s="1">
        <v>2843667</v>
      </c>
      <c r="M874" s="1" t="s">
        <v>1034</v>
      </c>
      <c r="N874" s="8">
        <f>DATE(2022,2,7)</f>
        <v>44599</v>
      </c>
      <c r="O874" s="8">
        <f>DATE(2024,12,31)</f>
        <v>45657</v>
      </c>
      <c r="P874" s="1">
        <v>3826</v>
      </c>
      <c r="Q874" s="1">
        <v>1200</v>
      </c>
      <c r="R874" s="1">
        <f t="shared" si="276"/>
        <v>3200</v>
      </c>
      <c r="S874" s="1">
        <v>2.5</v>
      </c>
      <c r="U874" s="1">
        <f t="shared" si="277"/>
        <v>1059</v>
      </c>
      <c r="V874" s="7">
        <f t="shared" si="278"/>
        <v>3.0217186024551466</v>
      </c>
      <c r="W874" s="7">
        <f t="shared" si="279"/>
        <v>1102.9272898961285</v>
      </c>
      <c r="X874" s="7">
        <f t="shared" si="280"/>
        <v>1.3786591123701606</v>
      </c>
      <c r="AA874" s="8">
        <f t="shared" si="281"/>
        <v>44927</v>
      </c>
      <c r="AB874" s="8">
        <f t="shared" si="282"/>
        <v>45291</v>
      </c>
      <c r="AC874" s="1">
        <v>59</v>
      </c>
      <c r="AD874" s="1">
        <f t="shared" si="283"/>
        <v>365</v>
      </c>
      <c r="AE874" s="1">
        <f t="shared" si="284"/>
        <v>0</v>
      </c>
      <c r="AF874" s="1">
        <f t="shared" si="285"/>
        <v>0</v>
      </c>
      <c r="AG874" s="1">
        <f t="shared" si="286"/>
        <v>0</v>
      </c>
      <c r="AH874" s="1">
        <f t="shared" si="287"/>
        <v>0</v>
      </c>
      <c r="AI874" s="5">
        <f t="shared" si="288"/>
        <v>1</v>
      </c>
      <c r="AJ874" s="5">
        <f t="shared" si="289"/>
        <v>1.3786591123701606</v>
      </c>
      <c r="AK874" s="5">
        <f t="shared" si="290"/>
        <v>81.340887629839472</v>
      </c>
      <c r="AL874" s="5">
        <f t="shared" si="291"/>
        <v>203.35221907459868</v>
      </c>
      <c r="AM874" s="5">
        <f t="shared" si="292"/>
        <v>101.67610953729934</v>
      </c>
      <c r="AN874" s="5">
        <f t="shared" si="293"/>
        <v>305.02832861189802</v>
      </c>
      <c r="AO874" s="1" t="s">
        <v>102</v>
      </c>
    </row>
    <row r="875" spans="1:41" x14ac:dyDescent="0.25">
      <c r="A875" s="1" t="s">
        <v>19</v>
      </c>
      <c r="B875" s="1" t="s">
        <v>42</v>
      </c>
      <c r="C875" s="1" t="s">
        <v>21</v>
      </c>
      <c r="D875" s="1" t="s">
        <v>43</v>
      </c>
      <c r="E875" s="1" t="s">
        <v>96</v>
      </c>
      <c r="F875" s="1" t="s">
        <v>103</v>
      </c>
      <c r="G875" s="1" t="s">
        <v>114</v>
      </c>
      <c r="H875" s="1" t="s">
        <v>119</v>
      </c>
      <c r="I875" s="1" t="s">
        <v>105</v>
      </c>
      <c r="J875" s="1" t="s">
        <v>106</v>
      </c>
      <c r="K875" s="1" t="s">
        <v>116</v>
      </c>
      <c r="L875" s="1">
        <v>2970954</v>
      </c>
      <c r="M875" s="1" t="s">
        <v>503</v>
      </c>
      <c r="N875" s="8">
        <f>DATE(2023,2,6)</f>
        <v>44963</v>
      </c>
      <c r="O875" s="8">
        <f>DATE(2025,12,31)</f>
        <v>46022</v>
      </c>
      <c r="P875" s="1">
        <v>3826</v>
      </c>
      <c r="Q875" s="1">
        <v>1200</v>
      </c>
      <c r="R875" s="1">
        <f t="shared" si="276"/>
        <v>3200</v>
      </c>
      <c r="S875" s="1">
        <v>2.5</v>
      </c>
      <c r="U875" s="1">
        <f t="shared" si="277"/>
        <v>1060</v>
      </c>
      <c r="V875" s="7">
        <f t="shared" si="278"/>
        <v>3.0188679245283021</v>
      </c>
      <c r="W875" s="7">
        <f t="shared" si="279"/>
        <v>1101.8867924528304</v>
      </c>
      <c r="X875" s="7">
        <f t="shared" si="280"/>
        <v>1.3773584905660379</v>
      </c>
      <c r="AA875" s="8">
        <f t="shared" si="281"/>
        <v>44927</v>
      </c>
      <c r="AB875" s="8">
        <f t="shared" si="282"/>
        <v>45291</v>
      </c>
      <c r="AC875" s="1">
        <v>104</v>
      </c>
      <c r="AD875" s="1">
        <f t="shared" si="283"/>
        <v>0</v>
      </c>
      <c r="AE875" s="1">
        <f t="shared" si="284"/>
        <v>329</v>
      </c>
      <c r="AF875" s="1">
        <f t="shared" si="285"/>
        <v>0</v>
      </c>
      <c r="AG875" s="1">
        <f t="shared" si="286"/>
        <v>0</v>
      </c>
      <c r="AH875" s="1">
        <f t="shared" si="287"/>
        <v>0</v>
      </c>
      <c r="AI875" s="5">
        <f t="shared" si="288"/>
        <v>0.90136986301369859</v>
      </c>
      <c r="AJ875" s="5">
        <f t="shared" si="289"/>
        <v>1.2415094339622643</v>
      </c>
      <c r="AK875" s="5">
        <f t="shared" si="290"/>
        <v>129.11698113207549</v>
      </c>
      <c r="AL875" s="5">
        <f t="shared" si="291"/>
        <v>322.79245283018872</v>
      </c>
      <c r="AM875" s="5">
        <f t="shared" si="292"/>
        <v>161.39622641509436</v>
      </c>
      <c r="AN875" s="5">
        <f t="shared" si="293"/>
        <v>484.18867924528308</v>
      </c>
      <c r="AO875" s="1" t="s">
        <v>102</v>
      </c>
    </row>
    <row r="876" spans="1:41" x14ac:dyDescent="0.25">
      <c r="A876" s="1" t="s">
        <v>19</v>
      </c>
      <c r="B876" s="1" t="s">
        <v>42</v>
      </c>
      <c r="C876" s="1" t="s">
        <v>21</v>
      </c>
      <c r="D876" s="1" t="s">
        <v>43</v>
      </c>
      <c r="E876" s="1" t="s">
        <v>172</v>
      </c>
      <c r="F876" s="1" t="s">
        <v>97</v>
      </c>
      <c r="G876" s="1" t="s">
        <v>114</v>
      </c>
      <c r="H876" s="1" t="s">
        <v>173</v>
      </c>
      <c r="I876" s="1" t="s">
        <v>174</v>
      </c>
      <c r="J876" s="1" t="s">
        <v>101</v>
      </c>
      <c r="K876" s="1" t="s">
        <v>175</v>
      </c>
      <c r="L876" s="1">
        <v>2979332</v>
      </c>
      <c r="M876" s="1" t="s">
        <v>345</v>
      </c>
      <c r="N876" s="8">
        <f>DATE(2023,4,3)</f>
        <v>45019</v>
      </c>
      <c r="O876" s="8">
        <f>DATE(2024,10,31)</f>
        <v>45596</v>
      </c>
      <c r="P876" s="1">
        <v>1200</v>
      </c>
      <c r="Q876" s="1">
        <v>1200</v>
      </c>
      <c r="R876" s="1">
        <f t="shared" si="276"/>
        <v>1200</v>
      </c>
      <c r="S876" s="1">
        <v>2</v>
      </c>
      <c r="U876" s="1">
        <f t="shared" si="277"/>
        <v>578</v>
      </c>
      <c r="V876" s="7">
        <f t="shared" si="278"/>
        <v>2.0761245674740483</v>
      </c>
      <c r="W876" s="7">
        <f t="shared" si="279"/>
        <v>757.78546712802768</v>
      </c>
      <c r="X876" s="7">
        <f t="shared" si="280"/>
        <v>0.94723183391003463</v>
      </c>
      <c r="AA876" s="8">
        <f t="shared" si="281"/>
        <v>44927</v>
      </c>
      <c r="AB876" s="8">
        <f t="shared" si="282"/>
        <v>45291</v>
      </c>
      <c r="AC876" s="1">
        <v>13</v>
      </c>
      <c r="AD876" s="1">
        <f t="shared" si="283"/>
        <v>0</v>
      </c>
      <c r="AE876" s="1">
        <f t="shared" si="284"/>
        <v>273</v>
      </c>
      <c r="AF876" s="1">
        <f t="shared" si="285"/>
        <v>0</v>
      </c>
      <c r="AG876" s="1">
        <f t="shared" si="286"/>
        <v>0</v>
      </c>
      <c r="AH876" s="1">
        <f t="shared" si="287"/>
        <v>0</v>
      </c>
      <c r="AI876" s="5">
        <f t="shared" si="288"/>
        <v>0.74794520547945209</v>
      </c>
      <c r="AJ876" s="5">
        <f t="shared" si="289"/>
        <v>0.70847750865051906</v>
      </c>
      <c r="AK876" s="5">
        <f t="shared" si="290"/>
        <v>9.2102076124567471</v>
      </c>
      <c r="AL876" s="5">
        <f t="shared" si="291"/>
        <v>18.420415224913494</v>
      </c>
      <c r="AM876" s="5">
        <f t="shared" si="292"/>
        <v>0</v>
      </c>
      <c r="AN876" s="5">
        <f t="shared" si="293"/>
        <v>18.420415224913494</v>
      </c>
      <c r="AO876" s="1" t="s">
        <v>111</v>
      </c>
    </row>
    <row r="877" spans="1:41" x14ac:dyDescent="0.25">
      <c r="A877" s="1" t="s">
        <v>19</v>
      </c>
      <c r="B877" s="1" t="s">
        <v>42</v>
      </c>
      <c r="C877" s="1" t="s">
        <v>21</v>
      </c>
      <c r="D877" s="1" t="s">
        <v>43</v>
      </c>
      <c r="E877" s="1" t="s">
        <v>172</v>
      </c>
      <c r="F877" s="1" t="s">
        <v>97</v>
      </c>
      <c r="G877" s="1" t="s">
        <v>114</v>
      </c>
      <c r="H877" s="1" t="s">
        <v>177</v>
      </c>
      <c r="I877" s="1" t="s">
        <v>174</v>
      </c>
      <c r="J877" s="1" t="s">
        <v>101</v>
      </c>
      <c r="K877" s="1" t="s">
        <v>175</v>
      </c>
      <c r="L877" s="1">
        <v>2979361</v>
      </c>
      <c r="M877" s="1" t="s">
        <v>346</v>
      </c>
      <c r="N877" s="8">
        <f>DATE(2023,4,3)</f>
        <v>45019</v>
      </c>
      <c r="O877" s="8">
        <f>DATE(2024,10,31)</f>
        <v>45596</v>
      </c>
      <c r="P877" s="1">
        <v>1200</v>
      </c>
      <c r="Q877" s="1">
        <v>1200</v>
      </c>
      <c r="R877" s="1">
        <f t="shared" si="276"/>
        <v>1200</v>
      </c>
      <c r="S877" s="1">
        <v>1</v>
      </c>
      <c r="U877" s="1">
        <f t="shared" si="277"/>
        <v>578</v>
      </c>
      <c r="V877" s="7">
        <f t="shared" si="278"/>
        <v>2.0761245674740483</v>
      </c>
      <c r="W877" s="7">
        <f t="shared" si="279"/>
        <v>757.78546712802768</v>
      </c>
      <c r="X877" s="7">
        <f t="shared" si="280"/>
        <v>0.94723183391003463</v>
      </c>
      <c r="AA877" s="8">
        <f t="shared" si="281"/>
        <v>44927</v>
      </c>
      <c r="AB877" s="8">
        <f t="shared" si="282"/>
        <v>45291</v>
      </c>
      <c r="AC877" s="1">
        <v>32</v>
      </c>
      <c r="AD877" s="1">
        <f t="shared" si="283"/>
        <v>0</v>
      </c>
      <c r="AE877" s="1">
        <f t="shared" si="284"/>
        <v>273</v>
      </c>
      <c r="AF877" s="1">
        <f t="shared" si="285"/>
        <v>0</v>
      </c>
      <c r="AG877" s="1">
        <f t="shared" si="286"/>
        <v>0</v>
      </c>
      <c r="AH877" s="1">
        <f t="shared" si="287"/>
        <v>0</v>
      </c>
      <c r="AI877" s="5">
        <f t="shared" si="288"/>
        <v>0.74794520547945209</v>
      </c>
      <c r="AJ877" s="5">
        <f t="shared" si="289"/>
        <v>0.70847750865051906</v>
      </c>
      <c r="AK877" s="5">
        <f t="shared" si="290"/>
        <v>22.67128027681661</v>
      </c>
      <c r="AL877" s="5">
        <f t="shared" si="291"/>
        <v>22.67128027681661</v>
      </c>
      <c r="AM877" s="5">
        <f t="shared" si="292"/>
        <v>0</v>
      </c>
      <c r="AN877" s="5">
        <f t="shared" si="293"/>
        <v>22.67128027681661</v>
      </c>
      <c r="AO877" s="1" t="s">
        <v>111</v>
      </c>
    </row>
    <row r="878" spans="1:41" x14ac:dyDescent="0.25">
      <c r="A878" s="1" t="s">
        <v>19</v>
      </c>
      <c r="B878" s="1" t="s">
        <v>42</v>
      </c>
      <c r="C878" s="1" t="s">
        <v>21</v>
      </c>
      <c r="D878" s="1" t="s">
        <v>43</v>
      </c>
      <c r="E878" s="1" t="s">
        <v>172</v>
      </c>
      <c r="F878" s="1" t="s">
        <v>97</v>
      </c>
      <c r="G878" s="1" t="s">
        <v>114</v>
      </c>
      <c r="H878" s="1" t="s">
        <v>179</v>
      </c>
      <c r="I878" s="1" t="s">
        <v>174</v>
      </c>
      <c r="J878" s="1" t="s">
        <v>101</v>
      </c>
      <c r="K878" s="1" t="s">
        <v>175</v>
      </c>
      <c r="L878" s="1">
        <v>2979363</v>
      </c>
      <c r="M878" s="1" t="s">
        <v>347</v>
      </c>
      <c r="N878" s="8">
        <f>DATE(2023,4,3)</f>
        <v>45019</v>
      </c>
      <c r="O878" s="8">
        <f>DATE(2024,10,31)</f>
        <v>45596</v>
      </c>
      <c r="P878" s="1">
        <v>1200</v>
      </c>
      <c r="Q878" s="1">
        <v>800</v>
      </c>
      <c r="R878" s="1">
        <f t="shared" si="276"/>
        <v>800</v>
      </c>
      <c r="S878" s="1">
        <v>1.5</v>
      </c>
      <c r="U878" s="1">
        <f t="shared" si="277"/>
        <v>578</v>
      </c>
      <c r="V878" s="7">
        <f t="shared" si="278"/>
        <v>1.3840830449826989</v>
      </c>
      <c r="W878" s="7">
        <f t="shared" si="279"/>
        <v>505.1903114186851</v>
      </c>
      <c r="X878" s="7">
        <f t="shared" si="280"/>
        <v>0.63148788927335642</v>
      </c>
      <c r="AA878" s="8">
        <f t="shared" si="281"/>
        <v>44927</v>
      </c>
      <c r="AB878" s="8">
        <f t="shared" si="282"/>
        <v>45291</v>
      </c>
      <c r="AC878" s="1">
        <v>15</v>
      </c>
      <c r="AD878" s="1">
        <f t="shared" si="283"/>
        <v>0</v>
      </c>
      <c r="AE878" s="1">
        <f t="shared" si="284"/>
        <v>273</v>
      </c>
      <c r="AF878" s="1">
        <f t="shared" si="285"/>
        <v>0</v>
      </c>
      <c r="AG878" s="1">
        <f t="shared" si="286"/>
        <v>0</v>
      </c>
      <c r="AH878" s="1">
        <f t="shared" si="287"/>
        <v>0</v>
      </c>
      <c r="AI878" s="5">
        <f t="shared" si="288"/>
        <v>0.74794520547945209</v>
      </c>
      <c r="AJ878" s="5">
        <f t="shared" si="289"/>
        <v>0.47231833910034604</v>
      </c>
      <c r="AK878" s="5">
        <f t="shared" si="290"/>
        <v>7.0847750865051911</v>
      </c>
      <c r="AL878" s="5">
        <f t="shared" si="291"/>
        <v>10.627162629757787</v>
      </c>
      <c r="AM878" s="5">
        <f t="shared" si="292"/>
        <v>0</v>
      </c>
      <c r="AN878" s="5">
        <f t="shared" si="293"/>
        <v>10.627162629757787</v>
      </c>
      <c r="AO878" s="1" t="s">
        <v>111</v>
      </c>
    </row>
    <row r="879" spans="1:41" x14ac:dyDescent="0.25">
      <c r="A879" s="1" t="s">
        <v>19</v>
      </c>
      <c r="B879" s="1" t="s">
        <v>44</v>
      </c>
      <c r="C879" s="1" t="s">
        <v>21</v>
      </c>
      <c r="D879" s="1" t="s">
        <v>45</v>
      </c>
      <c r="E879" s="1" t="s">
        <v>96</v>
      </c>
      <c r="F879" s="1" t="s">
        <v>103</v>
      </c>
      <c r="G879" s="1" t="s">
        <v>320</v>
      </c>
      <c r="H879" s="1" t="s">
        <v>456</v>
      </c>
      <c r="I879" s="1" t="s">
        <v>174</v>
      </c>
      <c r="J879" s="1" t="s">
        <v>101</v>
      </c>
      <c r="L879" s="1">
        <v>806188</v>
      </c>
      <c r="M879" s="1" t="s">
        <v>1035</v>
      </c>
      <c r="N879" s="8">
        <f>DATE(2011,2,8)</f>
        <v>40582</v>
      </c>
      <c r="O879" s="8">
        <f>DATE(2014,3,28)</f>
        <v>41726</v>
      </c>
      <c r="P879" s="1">
        <v>3120</v>
      </c>
      <c r="Q879" s="1">
        <v>3200</v>
      </c>
      <c r="R879" s="1">
        <f t="shared" si="276"/>
        <v>3200</v>
      </c>
      <c r="S879" s="1">
        <v>2.5</v>
      </c>
      <c r="U879" s="1">
        <f t="shared" si="277"/>
        <v>1145</v>
      </c>
      <c r="V879" s="7">
        <f t="shared" si="278"/>
        <v>2.7248908296943233</v>
      </c>
      <c r="W879" s="7">
        <f t="shared" si="279"/>
        <v>994.58515283842803</v>
      </c>
      <c r="X879" s="7">
        <f t="shared" si="280"/>
        <v>1.243231441048035</v>
      </c>
      <c r="AA879" s="8">
        <f t="shared" si="281"/>
        <v>44927</v>
      </c>
      <c r="AB879" s="8">
        <f t="shared" si="282"/>
        <v>45291</v>
      </c>
      <c r="AC879" s="1">
        <v>1</v>
      </c>
      <c r="AD879" s="1">
        <f t="shared" si="283"/>
        <v>0</v>
      </c>
      <c r="AE879" s="1">
        <f t="shared" si="284"/>
        <v>0</v>
      </c>
      <c r="AF879" s="1">
        <f t="shared" si="285"/>
        <v>0</v>
      </c>
      <c r="AG879" s="1">
        <f t="shared" si="286"/>
        <v>0</v>
      </c>
      <c r="AH879" s="1">
        <f t="shared" si="287"/>
        <v>182.5</v>
      </c>
      <c r="AI879" s="5">
        <f t="shared" si="288"/>
        <v>0.5</v>
      </c>
      <c r="AJ879" s="5">
        <f t="shared" si="289"/>
        <v>0.62161572052401748</v>
      </c>
      <c r="AK879" s="5">
        <f t="shared" si="290"/>
        <v>0</v>
      </c>
      <c r="AL879" s="5">
        <f t="shared" si="291"/>
        <v>0</v>
      </c>
      <c r="AM879" s="5">
        <f t="shared" si="292"/>
        <v>0</v>
      </c>
      <c r="AN879" s="5">
        <f t="shared" si="293"/>
        <v>0</v>
      </c>
      <c r="AO879" s="1" t="s">
        <v>102</v>
      </c>
    </row>
    <row r="880" spans="1:41" x14ac:dyDescent="0.25">
      <c r="A880" s="1" t="s">
        <v>19</v>
      </c>
      <c r="B880" s="1" t="s">
        <v>44</v>
      </c>
      <c r="C880" s="1" t="s">
        <v>21</v>
      </c>
      <c r="D880" s="1" t="s">
        <v>45</v>
      </c>
      <c r="E880" s="1" t="s">
        <v>96</v>
      </c>
      <c r="F880" s="1" t="s">
        <v>103</v>
      </c>
      <c r="G880" s="1" t="s">
        <v>320</v>
      </c>
      <c r="H880" s="1" t="s">
        <v>353</v>
      </c>
      <c r="I880" s="1" t="s">
        <v>174</v>
      </c>
      <c r="J880" s="1" t="s">
        <v>101</v>
      </c>
      <c r="L880" s="1">
        <v>806189</v>
      </c>
      <c r="M880" s="1" t="s">
        <v>1036</v>
      </c>
      <c r="N880" s="8">
        <f>DATE(2011,2,8)</f>
        <v>40582</v>
      </c>
      <c r="O880" s="8">
        <f>DATE(2014,11,28)</f>
        <v>41971</v>
      </c>
      <c r="P880" s="1">
        <v>3440</v>
      </c>
      <c r="Q880" s="1">
        <v>3200</v>
      </c>
      <c r="R880" s="1">
        <f t="shared" si="276"/>
        <v>3200</v>
      </c>
      <c r="S880" s="1">
        <v>2.5</v>
      </c>
      <c r="U880" s="1">
        <f t="shared" si="277"/>
        <v>1390</v>
      </c>
      <c r="V880" s="7">
        <f t="shared" si="278"/>
        <v>2.3021582733812949</v>
      </c>
      <c r="W880" s="7">
        <f t="shared" si="279"/>
        <v>840.28776978417261</v>
      </c>
      <c r="X880" s="7">
        <f t="shared" si="280"/>
        <v>1.0503597122302157</v>
      </c>
      <c r="AA880" s="8">
        <f t="shared" si="281"/>
        <v>44927</v>
      </c>
      <c r="AB880" s="8">
        <f t="shared" si="282"/>
        <v>45291</v>
      </c>
      <c r="AC880" s="1">
        <v>0</v>
      </c>
      <c r="AD880" s="1">
        <f t="shared" si="283"/>
        <v>0</v>
      </c>
      <c r="AE880" s="1">
        <f t="shared" si="284"/>
        <v>0</v>
      </c>
      <c r="AF880" s="1">
        <f t="shared" si="285"/>
        <v>0</v>
      </c>
      <c r="AG880" s="1">
        <f t="shared" si="286"/>
        <v>0</v>
      </c>
      <c r="AH880" s="1">
        <f t="shared" si="287"/>
        <v>182.5</v>
      </c>
      <c r="AI880" s="5">
        <f t="shared" si="288"/>
        <v>0.5</v>
      </c>
      <c r="AJ880" s="5">
        <f t="shared" si="289"/>
        <v>0.52517985611510787</v>
      </c>
      <c r="AK880" s="5">
        <f t="shared" si="290"/>
        <v>0</v>
      </c>
      <c r="AL880" s="5">
        <f t="shared" si="291"/>
        <v>0</v>
      </c>
      <c r="AM880" s="5">
        <f t="shared" si="292"/>
        <v>0</v>
      </c>
      <c r="AN880" s="5">
        <f t="shared" si="293"/>
        <v>0</v>
      </c>
      <c r="AO880" s="1" t="s">
        <v>102</v>
      </c>
    </row>
    <row r="881" spans="1:41" x14ac:dyDescent="0.25">
      <c r="A881" s="1" t="s">
        <v>19</v>
      </c>
      <c r="B881" s="1" t="s">
        <v>44</v>
      </c>
      <c r="C881" s="1" t="s">
        <v>21</v>
      </c>
      <c r="D881" s="1" t="s">
        <v>45</v>
      </c>
      <c r="E881" s="1" t="s">
        <v>96</v>
      </c>
      <c r="F881" s="1" t="s">
        <v>103</v>
      </c>
      <c r="G881" s="1" t="s">
        <v>320</v>
      </c>
      <c r="H881" s="1" t="s">
        <v>353</v>
      </c>
      <c r="I881" s="1" t="s">
        <v>174</v>
      </c>
      <c r="J881" s="1" t="s">
        <v>101</v>
      </c>
      <c r="L881" s="1">
        <v>1207880</v>
      </c>
      <c r="M881" s="1" t="s">
        <v>1037</v>
      </c>
      <c r="N881" s="8">
        <f>DATE(2012,3,26)</f>
        <v>40994</v>
      </c>
      <c r="O881" s="8">
        <f>DATE(2015,12,22)</f>
        <v>42360</v>
      </c>
      <c r="P881" s="1">
        <v>3400</v>
      </c>
      <c r="Q881" s="1">
        <v>3200</v>
      </c>
      <c r="R881" s="1">
        <f t="shared" si="276"/>
        <v>3200</v>
      </c>
      <c r="S881" s="1">
        <v>2.5</v>
      </c>
      <c r="U881" s="1">
        <f t="shared" si="277"/>
        <v>1367</v>
      </c>
      <c r="V881" s="7">
        <f t="shared" si="278"/>
        <v>2.3408924652523773</v>
      </c>
      <c r="W881" s="7">
        <f t="shared" si="279"/>
        <v>854.42574981711766</v>
      </c>
      <c r="X881" s="7">
        <f t="shared" si="280"/>
        <v>1.0680321872713971</v>
      </c>
      <c r="AA881" s="8">
        <f t="shared" si="281"/>
        <v>44927</v>
      </c>
      <c r="AB881" s="8">
        <f t="shared" si="282"/>
        <v>45291</v>
      </c>
      <c r="AC881" s="1">
        <v>1</v>
      </c>
      <c r="AD881" s="1">
        <f t="shared" si="283"/>
        <v>0</v>
      </c>
      <c r="AE881" s="1">
        <f t="shared" si="284"/>
        <v>0</v>
      </c>
      <c r="AF881" s="1">
        <f t="shared" si="285"/>
        <v>0</v>
      </c>
      <c r="AG881" s="1">
        <f t="shared" si="286"/>
        <v>0</v>
      </c>
      <c r="AH881" s="1">
        <f t="shared" si="287"/>
        <v>182.5</v>
      </c>
      <c r="AI881" s="5">
        <f t="shared" si="288"/>
        <v>0.5</v>
      </c>
      <c r="AJ881" s="5">
        <f t="shared" si="289"/>
        <v>0.53401609363569857</v>
      </c>
      <c r="AK881" s="5">
        <f t="shared" si="290"/>
        <v>0</v>
      </c>
      <c r="AL881" s="5">
        <f t="shared" si="291"/>
        <v>0</v>
      </c>
      <c r="AM881" s="5">
        <f t="shared" si="292"/>
        <v>0</v>
      </c>
      <c r="AN881" s="5">
        <f t="shared" si="293"/>
        <v>0</v>
      </c>
      <c r="AO881" s="1" t="s">
        <v>102</v>
      </c>
    </row>
    <row r="882" spans="1:41" x14ac:dyDescent="0.25">
      <c r="A882" s="1" t="s">
        <v>19</v>
      </c>
      <c r="B882" s="1" t="s">
        <v>44</v>
      </c>
      <c r="C882" s="1" t="s">
        <v>21</v>
      </c>
      <c r="D882" s="1" t="s">
        <v>45</v>
      </c>
      <c r="E882" s="1" t="s">
        <v>96</v>
      </c>
      <c r="F882" s="1" t="s">
        <v>103</v>
      </c>
      <c r="G882" s="1" t="s">
        <v>320</v>
      </c>
      <c r="H882" s="1" t="s">
        <v>456</v>
      </c>
      <c r="I882" s="1" t="s">
        <v>174</v>
      </c>
      <c r="J882" s="1" t="s">
        <v>101</v>
      </c>
      <c r="L882" s="1">
        <v>1207881</v>
      </c>
      <c r="M882" s="1" t="s">
        <v>1038</v>
      </c>
      <c r="N882" s="8">
        <f>DATE(2012,3,26)</f>
        <v>40994</v>
      </c>
      <c r="O882" s="8">
        <f>DATE(2015,12,22)</f>
        <v>42360</v>
      </c>
      <c r="P882" s="1">
        <v>3200</v>
      </c>
      <c r="Q882" s="1">
        <v>3200</v>
      </c>
      <c r="R882" s="1">
        <f t="shared" si="276"/>
        <v>3200</v>
      </c>
      <c r="S882" s="1">
        <v>2.5</v>
      </c>
      <c r="U882" s="1">
        <f t="shared" si="277"/>
        <v>1367</v>
      </c>
      <c r="V882" s="7">
        <f t="shared" si="278"/>
        <v>2.3408924652523773</v>
      </c>
      <c r="W882" s="7">
        <f t="shared" si="279"/>
        <v>854.42574981711766</v>
      </c>
      <c r="X882" s="7">
        <f t="shared" si="280"/>
        <v>1.0680321872713971</v>
      </c>
      <c r="AA882" s="8">
        <f t="shared" si="281"/>
        <v>44927</v>
      </c>
      <c r="AB882" s="8">
        <f t="shared" si="282"/>
        <v>45291</v>
      </c>
      <c r="AC882" s="1">
        <v>0</v>
      </c>
      <c r="AD882" s="1">
        <f t="shared" si="283"/>
        <v>0</v>
      </c>
      <c r="AE882" s="1">
        <f t="shared" si="284"/>
        <v>0</v>
      </c>
      <c r="AF882" s="1">
        <f t="shared" si="285"/>
        <v>0</v>
      </c>
      <c r="AG882" s="1">
        <f t="shared" si="286"/>
        <v>0</v>
      </c>
      <c r="AH882" s="1">
        <f t="shared" si="287"/>
        <v>182.5</v>
      </c>
      <c r="AI882" s="5">
        <f t="shared" si="288"/>
        <v>0.5</v>
      </c>
      <c r="AJ882" s="5">
        <f t="shared" si="289"/>
        <v>0.53401609363569857</v>
      </c>
      <c r="AK882" s="5">
        <f t="shared" si="290"/>
        <v>0</v>
      </c>
      <c r="AL882" s="5">
        <f t="shared" si="291"/>
        <v>0</v>
      </c>
      <c r="AM882" s="5">
        <f t="shared" si="292"/>
        <v>0</v>
      </c>
      <c r="AN882" s="5">
        <f t="shared" si="293"/>
        <v>0</v>
      </c>
      <c r="AO882" s="1" t="s">
        <v>102</v>
      </c>
    </row>
    <row r="883" spans="1:41" x14ac:dyDescent="0.25">
      <c r="A883" s="1" t="s">
        <v>19</v>
      </c>
      <c r="B883" s="1" t="s">
        <v>44</v>
      </c>
      <c r="C883" s="1" t="s">
        <v>21</v>
      </c>
      <c r="D883" s="1" t="s">
        <v>45</v>
      </c>
      <c r="E883" s="1" t="s">
        <v>96</v>
      </c>
      <c r="F883" s="1" t="s">
        <v>103</v>
      </c>
      <c r="G883" s="1" t="s">
        <v>320</v>
      </c>
      <c r="H883" s="1" t="s">
        <v>456</v>
      </c>
      <c r="I883" s="1" t="s">
        <v>174</v>
      </c>
      <c r="J883" s="1" t="s">
        <v>101</v>
      </c>
      <c r="L883" s="1">
        <v>1783310</v>
      </c>
      <c r="M883" s="1" t="s">
        <v>1039</v>
      </c>
      <c r="N883" s="8">
        <f>DATE(2013,5,13)</f>
        <v>41407</v>
      </c>
      <c r="O883" s="8">
        <f>DATE(2016,12,22)</f>
        <v>42726</v>
      </c>
      <c r="P883" s="1">
        <v>3200</v>
      </c>
      <c r="Q883" s="1">
        <v>3200</v>
      </c>
      <c r="R883" s="1">
        <f t="shared" si="276"/>
        <v>3200</v>
      </c>
      <c r="S883" s="1">
        <v>2.5</v>
      </c>
      <c r="U883" s="1">
        <f t="shared" si="277"/>
        <v>1320</v>
      </c>
      <c r="V883" s="7">
        <f t="shared" si="278"/>
        <v>2.4242424242424243</v>
      </c>
      <c r="W883" s="7">
        <f t="shared" si="279"/>
        <v>884.84848484848487</v>
      </c>
      <c r="X883" s="7">
        <f t="shared" si="280"/>
        <v>1.1060606060606062</v>
      </c>
      <c r="AA883" s="8">
        <f t="shared" si="281"/>
        <v>44927</v>
      </c>
      <c r="AB883" s="8">
        <f t="shared" si="282"/>
        <v>45291</v>
      </c>
      <c r="AC883" s="1">
        <v>1</v>
      </c>
      <c r="AD883" s="1">
        <f t="shared" si="283"/>
        <v>0</v>
      </c>
      <c r="AE883" s="1">
        <f t="shared" si="284"/>
        <v>0</v>
      </c>
      <c r="AF883" s="1">
        <f t="shared" si="285"/>
        <v>0</v>
      </c>
      <c r="AG883" s="1">
        <f t="shared" si="286"/>
        <v>0</v>
      </c>
      <c r="AH883" s="1">
        <f t="shared" si="287"/>
        <v>182.5</v>
      </c>
      <c r="AI883" s="5">
        <f t="shared" si="288"/>
        <v>0.5</v>
      </c>
      <c r="AJ883" s="5">
        <f t="shared" si="289"/>
        <v>0.55303030303030309</v>
      </c>
      <c r="AK883" s="5">
        <f t="shared" si="290"/>
        <v>0</v>
      </c>
      <c r="AL883" s="5">
        <f t="shared" si="291"/>
        <v>0</v>
      </c>
      <c r="AM883" s="5">
        <f t="shared" si="292"/>
        <v>0</v>
      </c>
      <c r="AN883" s="5">
        <f t="shared" si="293"/>
        <v>0</v>
      </c>
      <c r="AO883" s="1" t="s">
        <v>102</v>
      </c>
    </row>
    <row r="884" spans="1:41" x14ac:dyDescent="0.25">
      <c r="A884" s="1" t="s">
        <v>19</v>
      </c>
      <c r="B884" s="1" t="s">
        <v>44</v>
      </c>
      <c r="C884" s="1" t="s">
        <v>21</v>
      </c>
      <c r="D884" s="1" t="s">
        <v>45</v>
      </c>
      <c r="E884" s="1" t="s">
        <v>96</v>
      </c>
      <c r="F884" s="1" t="s">
        <v>103</v>
      </c>
      <c r="G884" s="1" t="s">
        <v>320</v>
      </c>
      <c r="H884" s="1" t="s">
        <v>456</v>
      </c>
      <c r="I884" s="1" t="s">
        <v>174</v>
      </c>
      <c r="J884" s="1" t="s">
        <v>101</v>
      </c>
      <c r="L884" s="1">
        <v>1948856</v>
      </c>
      <c r="M884" s="1" t="s">
        <v>1040</v>
      </c>
      <c r="N884" s="8">
        <f>DATE(2014,4,22)</f>
        <v>41751</v>
      </c>
      <c r="O884" s="8">
        <f>DATE(2017,12,22)</f>
        <v>43091</v>
      </c>
      <c r="P884" s="1">
        <v>3200</v>
      </c>
      <c r="Q884" s="1">
        <v>3200</v>
      </c>
      <c r="R884" s="1">
        <f t="shared" si="276"/>
        <v>3200</v>
      </c>
      <c r="S884" s="1">
        <v>2.5</v>
      </c>
      <c r="U884" s="1">
        <f t="shared" si="277"/>
        <v>1341</v>
      </c>
      <c r="V884" s="7">
        <f t="shared" si="278"/>
        <v>2.3862788963460106</v>
      </c>
      <c r="W884" s="7">
        <f t="shared" si="279"/>
        <v>870.99179716629385</v>
      </c>
      <c r="X884" s="7">
        <f t="shared" si="280"/>
        <v>1.0887397464578674</v>
      </c>
      <c r="AA884" s="8">
        <f t="shared" si="281"/>
        <v>44927</v>
      </c>
      <c r="AB884" s="8">
        <f t="shared" si="282"/>
        <v>45291</v>
      </c>
      <c r="AC884" s="1">
        <v>0</v>
      </c>
      <c r="AD884" s="1">
        <f t="shared" si="283"/>
        <v>0</v>
      </c>
      <c r="AE884" s="1">
        <f t="shared" si="284"/>
        <v>0</v>
      </c>
      <c r="AF884" s="1">
        <f t="shared" si="285"/>
        <v>0</v>
      </c>
      <c r="AG884" s="1">
        <f t="shared" si="286"/>
        <v>0</v>
      </c>
      <c r="AH884" s="1">
        <f t="shared" si="287"/>
        <v>182.5</v>
      </c>
      <c r="AI884" s="5">
        <f t="shared" si="288"/>
        <v>0.5</v>
      </c>
      <c r="AJ884" s="5">
        <f t="shared" si="289"/>
        <v>0.54436987322893371</v>
      </c>
      <c r="AK884" s="5">
        <f t="shared" si="290"/>
        <v>0</v>
      </c>
      <c r="AL884" s="5">
        <f t="shared" si="291"/>
        <v>0</v>
      </c>
      <c r="AM884" s="5">
        <f t="shared" si="292"/>
        <v>0</v>
      </c>
      <c r="AN884" s="5">
        <f t="shared" si="293"/>
        <v>0</v>
      </c>
      <c r="AO884" s="1" t="s">
        <v>102</v>
      </c>
    </row>
    <row r="885" spans="1:41" x14ac:dyDescent="0.25">
      <c r="A885" s="1" t="s">
        <v>19</v>
      </c>
      <c r="B885" s="1" t="s">
        <v>44</v>
      </c>
      <c r="C885" s="1" t="s">
        <v>21</v>
      </c>
      <c r="D885" s="1" t="s">
        <v>45</v>
      </c>
      <c r="E885" s="1" t="s">
        <v>96</v>
      </c>
      <c r="F885" s="1" t="s">
        <v>103</v>
      </c>
      <c r="G885" s="1" t="s">
        <v>320</v>
      </c>
      <c r="H885" s="1" t="s">
        <v>353</v>
      </c>
      <c r="I885" s="1" t="s">
        <v>174</v>
      </c>
      <c r="J885" s="1" t="s">
        <v>101</v>
      </c>
      <c r="L885" s="1">
        <v>1948857</v>
      </c>
      <c r="M885" s="1" t="s">
        <v>1041</v>
      </c>
      <c r="N885" s="8">
        <f>DATE(2014,4,22)</f>
        <v>41751</v>
      </c>
      <c r="O885" s="8">
        <f>DATE(2017,12,22)</f>
        <v>43091</v>
      </c>
      <c r="P885" s="1">
        <v>3048</v>
      </c>
      <c r="Q885" s="1">
        <v>3200</v>
      </c>
      <c r="R885" s="1">
        <f t="shared" si="276"/>
        <v>3200</v>
      </c>
      <c r="S885" s="1">
        <v>2.5</v>
      </c>
      <c r="U885" s="1">
        <f t="shared" si="277"/>
        <v>1341</v>
      </c>
      <c r="V885" s="7">
        <f t="shared" si="278"/>
        <v>2.2729306487695751</v>
      </c>
      <c r="W885" s="7">
        <f t="shared" si="279"/>
        <v>829.6196868008949</v>
      </c>
      <c r="X885" s="7">
        <f t="shared" si="280"/>
        <v>1.0370246085011185</v>
      </c>
      <c r="AA885" s="8">
        <f t="shared" si="281"/>
        <v>44927</v>
      </c>
      <c r="AB885" s="8">
        <f t="shared" si="282"/>
        <v>45291</v>
      </c>
      <c r="AC885" s="1">
        <v>0</v>
      </c>
      <c r="AD885" s="1">
        <f t="shared" si="283"/>
        <v>0</v>
      </c>
      <c r="AE885" s="1">
        <f t="shared" si="284"/>
        <v>0</v>
      </c>
      <c r="AF885" s="1">
        <f t="shared" si="285"/>
        <v>0</v>
      </c>
      <c r="AG885" s="1">
        <f t="shared" si="286"/>
        <v>0</v>
      </c>
      <c r="AH885" s="1">
        <f t="shared" si="287"/>
        <v>182.5</v>
      </c>
      <c r="AI885" s="5">
        <f t="shared" si="288"/>
        <v>0.5</v>
      </c>
      <c r="AJ885" s="5">
        <f t="shared" si="289"/>
        <v>0.51851230425055927</v>
      </c>
      <c r="AK885" s="5">
        <f t="shared" si="290"/>
        <v>0</v>
      </c>
      <c r="AL885" s="5">
        <f t="shared" si="291"/>
        <v>0</v>
      </c>
      <c r="AM885" s="5">
        <f t="shared" si="292"/>
        <v>0</v>
      </c>
      <c r="AN885" s="5">
        <f t="shared" si="293"/>
        <v>0</v>
      </c>
      <c r="AO885" s="1" t="s">
        <v>102</v>
      </c>
    </row>
    <row r="886" spans="1:41" x14ac:dyDescent="0.25">
      <c r="A886" s="1" t="s">
        <v>19</v>
      </c>
      <c r="B886" s="1" t="s">
        <v>44</v>
      </c>
      <c r="C886" s="1" t="s">
        <v>21</v>
      </c>
      <c r="D886" s="1" t="s">
        <v>45</v>
      </c>
      <c r="E886" s="1" t="s">
        <v>96</v>
      </c>
      <c r="F886" s="1" t="s">
        <v>103</v>
      </c>
      <c r="G886" s="1" t="s">
        <v>320</v>
      </c>
      <c r="H886" s="1" t="s">
        <v>353</v>
      </c>
      <c r="I886" s="1" t="s">
        <v>174</v>
      </c>
      <c r="J886" s="1" t="s">
        <v>101</v>
      </c>
      <c r="L886" s="1">
        <v>1983992</v>
      </c>
      <c r="M886" s="1" t="s">
        <v>1042</v>
      </c>
      <c r="N886" s="8">
        <f>DATE(2015,3,30)</f>
        <v>42093</v>
      </c>
      <c r="O886" s="8">
        <f>DATE(2019,3,30)</f>
        <v>43554</v>
      </c>
      <c r="P886" s="1">
        <v>3048</v>
      </c>
      <c r="Q886" s="1">
        <v>3200</v>
      </c>
      <c r="R886" s="1">
        <f t="shared" si="276"/>
        <v>3200</v>
      </c>
      <c r="S886" s="1">
        <v>2.5</v>
      </c>
      <c r="U886" s="1">
        <f t="shared" si="277"/>
        <v>1462</v>
      </c>
      <c r="V886" s="7">
        <f t="shared" si="278"/>
        <v>2.0848153214774281</v>
      </c>
      <c r="W886" s="7">
        <f t="shared" si="279"/>
        <v>760.95759233926128</v>
      </c>
      <c r="X886" s="7">
        <f t="shared" si="280"/>
        <v>0.95119699042407657</v>
      </c>
      <c r="AA886" s="8">
        <f t="shared" si="281"/>
        <v>44927</v>
      </c>
      <c r="AB886" s="8">
        <f t="shared" si="282"/>
        <v>45291</v>
      </c>
      <c r="AC886" s="1">
        <v>1</v>
      </c>
      <c r="AD886" s="1">
        <f t="shared" si="283"/>
        <v>0</v>
      </c>
      <c r="AE886" s="1">
        <f t="shared" si="284"/>
        <v>0</v>
      </c>
      <c r="AF886" s="1">
        <f t="shared" si="285"/>
        <v>0</v>
      </c>
      <c r="AG886" s="1">
        <f t="shared" si="286"/>
        <v>0</v>
      </c>
      <c r="AH886" s="1">
        <f t="shared" si="287"/>
        <v>182.5</v>
      </c>
      <c r="AI886" s="5">
        <f t="shared" si="288"/>
        <v>0.5</v>
      </c>
      <c r="AJ886" s="5">
        <f t="shared" si="289"/>
        <v>0.47559849521203829</v>
      </c>
      <c r="AK886" s="5">
        <f t="shared" si="290"/>
        <v>0</v>
      </c>
      <c r="AL886" s="5">
        <f t="shared" si="291"/>
        <v>0</v>
      </c>
      <c r="AM886" s="5">
        <f t="shared" si="292"/>
        <v>0</v>
      </c>
      <c r="AN886" s="5">
        <f t="shared" si="293"/>
        <v>0</v>
      </c>
      <c r="AO886" s="1" t="s">
        <v>102</v>
      </c>
    </row>
    <row r="887" spans="1:41" x14ac:dyDescent="0.25">
      <c r="A887" s="1" t="s">
        <v>19</v>
      </c>
      <c r="B887" s="1" t="s">
        <v>44</v>
      </c>
      <c r="C887" s="1" t="s">
        <v>21</v>
      </c>
      <c r="D887" s="1" t="s">
        <v>45</v>
      </c>
      <c r="E887" s="1" t="s">
        <v>96</v>
      </c>
      <c r="F887" s="1" t="s">
        <v>103</v>
      </c>
      <c r="G887" s="1" t="s">
        <v>320</v>
      </c>
      <c r="H887" s="1" t="s">
        <v>456</v>
      </c>
      <c r="I887" s="1" t="s">
        <v>174</v>
      </c>
      <c r="J887" s="1" t="s">
        <v>101</v>
      </c>
      <c r="L887" s="1">
        <v>1983996</v>
      </c>
      <c r="M887" s="1" t="s">
        <v>1043</v>
      </c>
      <c r="N887" s="8">
        <f>DATE(2015,3,30)</f>
        <v>42093</v>
      </c>
      <c r="O887" s="8">
        <f>DATE(2019,3,30)</f>
        <v>43554</v>
      </c>
      <c r="P887" s="1">
        <v>3420</v>
      </c>
      <c r="Q887" s="1">
        <v>3200</v>
      </c>
      <c r="R887" s="1">
        <f t="shared" si="276"/>
        <v>3200</v>
      </c>
      <c r="S887" s="1">
        <v>2.5</v>
      </c>
      <c r="U887" s="1">
        <f t="shared" si="277"/>
        <v>1462</v>
      </c>
      <c r="V887" s="7">
        <f t="shared" si="278"/>
        <v>2.188782489740082</v>
      </c>
      <c r="W887" s="7">
        <f t="shared" si="279"/>
        <v>798.90560875512995</v>
      </c>
      <c r="X887" s="7">
        <f t="shared" si="280"/>
        <v>0.99863201094391241</v>
      </c>
      <c r="AA887" s="8">
        <f t="shared" si="281"/>
        <v>44927</v>
      </c>
      <c r="AB887" s="8">
        <f t="shared" si="282"/>
        <v>45291</v>
      </c>
      <c r="AC887" s="1">
        <v>0</v>
      </c>
      <c r="AD887" s="1">
        <f t="shared" si="283"/>
        <v>0</v>
      </c>
      <c r="AE887" s="1">
        <f t="shared" si="284"/>
        <v>0</v>
      </c>
      <c r="AF887" s="1">
        <f t="shared" si="285"/>
        <v>0</v>
      </c>
      <c r="AG887" s="1">
        <f t="shared" si="286"/>
        <v>0</v>
      </c>
      <c r="AH887" s="1">
        <f t="shared" si="287"/>
        <v>182.5</v>
      </c>
      <c r="AI887" s="5">
        <f t="shared" si="288"/>
        <v>0.5</v>
      </c>
      <c r="AJ887" s="5">
        <f t="shared" si="289"/>
        <v>0.4993160054719562</v>
      </c>
      <c r="AK887" s="5">
        <f t="shared" si="290"/>
        <v>0</v>
      </c>
      <c r="AL887" s="5">
        <f t="shared" si="291"/>
        <v>0</v>
      </c>
      <c r="AM887" s="5">
        <f t="shared" si="292"/>
        <v>0</v>
      </c>
      <c r="AN887" s="5">
        <f t="shared" si="293"/>
        <v>0</v>
      </c>
      <c r="AO887" s="1" t="s">
        <v>102</v>
      </c>
    </row>
    <row r="888" spans="1:41" x14ac:dyDescent="0.25">
      <c r="A888" s="1" t="s">
        <v>19</v>
      </c>
      <c r="B888" s="1" t="s">
        <v>44</v>
      </c>
      <c r="C888" s="1" t="s">
        <v>21</v>
      </c>
      <c r="D888" s="1" t="s">
        <v>45</v>
      </c>
      <c r="E888" s="1" t="s">
        <v>96</v>
      </c>
      <c r="F888" s="1" t="s">
        <v>103</v>
      </c>
      <c r="G888" s="1" t="s">
        <v>320</v>
      </c>
      <c r="H888" s="1" t="s">
        <v>456</v>
      </c>
      <c r="I888" s="1" t="s">
        <v>174</v>
      </c>
      <c r="J888" s="1" t="s">
        <v>101</v>
      </c>
      <c r="L888" s="1">
        <v>2029346</v>
      </c>
      <c r="M888" s="1" t="s">
        <v>1044</v>
      </c>
      <c r="N888" s="8">
        <f>DATE(2016,5,23)</f>
        <v>42513</v>
      </c>
      <c r="O888" s="8">
        <f>DATE(2020,5,22)</f>
        <v>43973</v>
      </c>
      <c r="P888" s="1">
        <v>3420</v>
      </c>
      <c r="Q888" s="1">
        <v>3200</v>
      </c>
      <c r="R888" s="1">
        <f t="shared" si="276"/>
        <v>3200</v>
      </c>
      <c r="S888" s="1">
        <v>2.5</v>
      </c>
      <c r="U888" s="1">
        <f t="shared" si="277"/>
        <v>1461</v>
      </c>
      <c r="V888" s="7">
        <f t="shared" si="278"/>
        <v>2.1902806297056809</v>
      </c>
      <c r="W888" s="7">
        <f t="shared" si="279"/>
        <v>799.45242984257357</v>
      </c>
      <c r="X888" s="7">
        <f t="shared" si="280"/>
        <v>0.99931553730321698</v>
      </c>
      <c r="AA888" s="8">
        <f t="shared" si="281"/>
        <v>44927</v>
      </c>
      <c r="AB888" s="8">
        <f t="shared" si="282"/>
        <v>45291</v>
      </c>
      <c r="AC888" s="1">
        <v>8</v>
      </c>
      <c r="AD888" s="1">
        <f t="shared" si="283"/>
        <v>0</v>
      </c>
      <c r="AE888" s="1">
        <f t="shared" si="284"/>
        <v>0</v>
      </c>
      <c r="AF888" s="1">
        <f t="shared" si="285"/>
        <v>0</v>
      </c>
      <c r="AG888" s="1">
        <f t="shared" si="286"/>
        <v>0</v>
      </c>
      <c r="AH888" s="1">
        <f t="shared" si="287"/>
        <v>182.5</v>
      </c>
      <c r="AI888" s="5">
        <f t="shared" si="288"/>
        <v>0.5</v>
      </c>
      <c r="AJ888" s="5">
        <f t="shared" si="289"/>
        <v>0.49965776865160849</v>
      </c>
      <c r="AK888" s="5">
        <f t="shared" si="290"/>
        <v>1.998631074606434</v>
      </c>
      <c r="AL888" s="5">
        <f t="shared" si="291"/>
        <v>4.9965776865160851</v>
      </c>
      <c r="AM888" s="5">
        <f t="shared" si="292"/>
        <v>0</v>
      </c>
      <c r="AN888" s="5">
        <f t="shared" si="293"/>
        <v>4.9965776865160851</v>
      </c>
      <c r="AO888" s="1" t="s">
        <v>102</v>
      </c>
    </row>
    <row r="889" spans="1:41" x14ac:dyDescent="0.25">
      <c r="A889" s="1" t="s">
        <v>19</v>
      </c>
      <c r="B889" s="1" t="s">
        <v>44</v>
      </c>
      <c r="C889" s="1" t="s">
        <v>21</v>
      </c>
      <c r="D889" s="1" t="s">
        <v>45</v>
      </c>
      <c r="E889" s="1" t="s">
        <v>96</v>
      </c>
      <c r="F889" s="1" t="s">
        <v>103</v>
      </c>
      <c r="G889" s="1" t="s">
        <v>320</v>
      </c>
      <c r="H889" s="1" t="s">
        <v>353</v>
      </c>
      <c r="I889" s="1" t="s">
        <v>174</v>
      </c>
      <c r="J889" s="1" t="s">
        <v>101</v>
      </c>
      <c r="L889" s="1">
        <v>2029347</v>
      </c>
      <c r="M889" s="1" t="s">
        <v>1045</v>
      </c>
      <c r="N889" s="8">
        <f>DATE(2016,5,23)</f>
        <v>42513</v>
      </c>
      <c r="O889" s="8">
        <f>DATE(2020,5,22)</f>
        <v>43973</v>
      </c>
      <c r="P889" s="1">
        <v>3048</v>
      </c>
      <c r="Q889" s="1">
        <v>3200</v>
      </c>
      <c r="R889" s="1">
        <f t="shared" si="276"/>
        <v>3200</v>
      </c>
      <c r="S889" s="1">
        <v>2.5</v>
      </c>
      <c r="U889" s="1">
        <f t="shared" si="277"/>
        <v>1461</v>
      </c>
      <c r="V889" s="7">
        <f t="shared" si="278"/>
        <v>2.086242299794661</v>
      </c>
      <c r="W889" s="7">
        <f t="shared" si="279"/>
        <v>761.47843942505131</v>
      </c>
      <c r="X889" s="7">
        <f t="shared" si="280"/>
        <v>0.95184804928131417</v>
      </c>
      <c r="AA889" s="8">
        <f t="shared" si="281"/>
        <v>44927</v>
      </c>
      <c r="AB889" s="8">
        <f t="shared" si="282"/>
        <v>45291</v>
      </c>
      <c r="AC889" s="1">
        <v>5</v>
      </c>
      <c r="AD889" s="1">
        <f t="shared" si="283"/>
        <v>0</v>
      </c>
      <c r="AE889" s="1">
        <f t="shared" si="284"/>
        <v>0</v>
      </c>
      <c r="AF889" s="1">
        <f t="shared" si="285"/>
        <v>0</v>
      </c>
      <c r="AG889" s="1">
        <f t="shared" si="286"/>
        <v>0</v>
      </c>
      <c r="AH889" s="1">
        <f t="shared" si="287"/>
        <v>182.5</v>
      </c>
      <c r="AI889" s="5">
        <f t="shared" si="288"/>
        <v>0.5</v>
      </c>
      <c r="AJ889" s="5">
        <f t="shared" si="289"/>
        <v>0.47592402464065708</v>
      </c>
      <c r="AK889" s="5">
        <f t="shared" si="290"/>
        <v>1.1898100616016427</v>
      </c>
      <c r="AL889" s="5">
        <f t="shared" si="291"/>
        <v>2.9745251540041067</v>
      </c>
      <c r="AM889" s="5">
        <f t="shared" si="292"/>
        <v>0</v>
      </c>
      <c r="AN889" s="5">
        <f t="shared" si="293"/>
        <v>2.9745251540041067</v>
      </c>
      <c r="AO889" s="1" t="s">
        <v>102</v>
      </c>
    </row>
    <row r="890" spans="1:41" x14ac:dyDescent="0.25">
      <c r="A890" s="1" t="s">
        <v>19</v>
      </c>
      <c r="B890" s="1" t="s">
        <v>44</v>
      </c>
      <c r="C890" s="1" t="s">
        <v>21</v>
      </c>
      <c r="D890" s="1" t="s">
        <v>45</v>
      </c>
      <c r="E890" s="1" t="s">
        <v>96</v>
      </c>
      <c r="F890" s="1" t="s">
        <v>103</v>
      </c>
      <c r="G890" s="1" t="s">
        <v>98</v>
      </c>
      <c r="H890" s="1" t="s">
        <v>99</v>
      </c>
      <c r="I890" s="1" t="s">
        <v>100</v>
      </c>
      <c r="J890" s="1" t="s">
        <v>101</v>
      </c>
      <c r="L890" s="1">
        <v>2029379</v>
      </c>
      <c r="M890" s="1" t="s">
        <v>1046</v>
      </c>
      <c r="N890" s="8">
        <f>DATE(2016,5,23)</f>
        <v>42513</v>
      </c>
      <c r="O890" s="8">
        <f>DATE(2020,5,22)</f>
        <v>43973</v>
      </c>
      <c r="P890" s="1">
        <v>3100</v>
      </c>
      <c r="Q890" s="1">
        <v>3000</v>
      </c>
      <c r="R890" s="1">
        <f t="shared" ref="R890:R953" si="294">IF(OR(G890="QUALIFICACAO PROFISSIONAL (FIC)",G890="DOUTORADO"),P890,
    IF(ISNUMBER(FIND("PROEJA",K890)),2400,
        IF(K890="INTEGRADO",
            IF(Q890=800,3000,
                IF(Q890=1000,3100,
                    IF(Q890=1200,3200,Q890)
                )
            ),
            Q890
        )
    )
)</f>
        <v>3000</v>
      </c>
      <c r="S890" s="1">
        <v>1</v>
      </c>
      <c r="U890" s="1">
        <f t="shared" ref="U890:U953" si="295">O890-N890+1</f>
        <v>1461</v>
      </c>
      <c r="V890" s="7">
        <f t="shared" ref="V890:V953" si="296">IF(R890&gt;P890,P890,R890)/U890</f>
        <v>2.0533880903490758</v>
      </c>
      <c r="W890" s="7">
        <f t="shared" ref="W890:W953" si="297">IF(U890&gt;365,V890*365,R890)</f>
        <v>749.48665297741263</v>
      </c>
      <c r="X890" s="7">
        <f t="shared" ref="X890:X953" si="298">IF(U890&gt;365,W890/800,R890/800)</f>
        <v>0.93685831622176574</v>
      </c>
      <c r="AA890" s="8">
        <f t="shared" ref="AA890:AA953" si="299">DATE(2023,1,1)</f>
        <v>44927</v>
      </c>
      <c r="AB890" s="8">
        <f t="shared" ref="AB890:AB953" si="300">DATE(2023,12,31)</f>
        <v>45291</v>
      </c>
      <c r="AC890" s="1">
        <v>14</v>
      </c>
      <c r="AD890" s="1">
        <f t="shared" ref="AD890:AD953" si="301">IF(AND(N890&lt;AA890,O890&gt;AB890),AB890-AA890+1,0)</f>
        <v>0</v>
      </c>
      <c r="AE890" s="1">
        <f t="shared" ref="AE890:AE953" si="302">IF(AND(N890&gt;=AA890,O890&gt;AB890,N890&lt;AB890),AB890-N890+1,0)</f>
        <v>0</v>
      </c>
      <c r="AF890" s="1">
        <f t="shared" ref="AF890:AF953" si="303">IF(AND(N890&lt;AA890,O890&lt;=AB890,O890&gt;=AA890),O890-AA890+1,0)</f>
        <v>0</v>
      </c>
      <c r="AG890" s="1">
        <f t="shared" ref="AG890:AG953" si="304">IF(AND(N890&gt;=AA890,O890&lt;=AB890),O890-N890+1,0)</f>
        <v>0</v>
      </c>
      <c r="AH890" s="1">
        <f t="shared" ref="AH890:AH953" si="305">IF(AND(N890&lt;AA890,O890&lt;AA890),(AB890-AA890+1)/2,0)</f>
        <v>182.5</v>
      </c>
      <c r="AI890" s="5">
        <f t="shared" ref="AI890:AI953" si="306">SUM(AD890:AH890)/IF(U890&gt;=365,AB890-AA890+1,U890)</f>
        <v>0.5</v>
      </c>
      <c r="AJ890" s="5">
        <f t="shared" ref="AJ890:AJ953" si="307">X890*AI890</f>
        <v>0.46842915811088287</v>
      </c>
      <c r="AK890" s="5">
        <f t="shared" ref="AK890:AK953" si="308">IF(AH890=0,AJ890*AC890,IF(AA890-O890&gt;1095,0,AJ890*(AC890/2)))</f>
        <v>3.2790041067761799</v>
      </c>
      <c r="AL890" s="5">
        <f t="shared" ref="AL890:AL953" si="309">AK890*S890</f>
        <v>3.2790041067761799</v>
      </c>
      <c r="AM890" s="5">
        <f t="shared" ref="AM890:AM953" si="310">IF(J890="SIM",AL890*50%,0)</f>
        <v>0</v>
      </c>
      <c r="AN890" s="5">
        <f t="shared" ref="AN890:AN953" si="311">AL890+AM890</f>
        <v>3.2790041067761799</v>
      </c>
      <c r="AO890" s="1" t="s">
        <v>102</v>
      </c>
    </row>
    <row r="891" spans="1:41" x14ac:dyDescent="0.25">
      <c r="A891" s="1" t="s">
        <v>19</v>
      </c>
      <c r="B891" s="1" t="s">
        <v>44</v>
      </c>
      <c r="C891" s="1" t="s">
        <v>21</v>
      </c>
      <c r="D891" s="1" t="s">
        <v>45</v>
      </c>
      <c r="E891" s="1" t="s">
        <v>96</v>
      </c>
      <c r="F891" s="1" t="s">
        <v>103</v>
      </c>
      <c r="G891" s="1" t="s">
        <v>98</v>
      </c>
      <c r="H891" s="1" t="s">
        <v>99</v>
      </c>
      <c r="I891" s="1" t="s">
        <v>100</v>
      </c>
      <c r="J891" s="1" t="s">
        <v>101</v>
      </c>
      <c r="L891" s="1">
        <v>2167125</v>
      </c>
      <c r="M891" s="1" t="s">
        <v>1047</v>
      </c>
      <c r="N891" s="8">
        <f>DATE(2017,5,8)</f>
        <v>42863</v>
      </c>
      <c r="O891" s="8">
        <f>DATE(2021,5,8)</f>
        <v>44324</v>
      </c>
      <c r="P891" s="1">
        <v>3100</v>
      </c>
      <c r="Q891" s="1">
        <v>3000</v>
      </c>
      <c r="R891" s="1">
        <f t="shared" si="294"/>
        <v>3000</v>
      </c>
      <c r="S891" s="1">
        <v>1</v>
      </c>
      <c r="U891" s="1">
        <f t="shared" si="295"/>
        <v>1462</v>
      </c>
      <c r="V891" s="7">
        <f t="shared" si="296"/>
        <v>2.0519835841313268</v>
      </c>
      <c r="W891" s="7">
        <f t="shared" si="297"/>
        <v>748.97400820793428</v>
      </c>
      <c r="X891" s="7">
        <f t="shared" si="298"/>
        <v>0.93621751025991784</v>
      </c>
      <c r="AA891" s="8">
        <f t="shared" si="299"/>
        <v>44927</v>
      </c>
      <c r="AB891" s="8">
        <f t="shared" si="300"/>
        <v>45291</v>
      </c>
      <c r="AC891" s="1">
        <v>13</v>
      </c>
      <c r="AD891" s="1">
        <f t="shared" si="301"/>
        <v>0</v>
      </c>
      <c r="AE891" s="1">
        <f t="shared" si="302"/>
        <v>0</v>
      </c>
      <c r="AF891" s="1">
        <f t="shared" si="303"/>
        <v>0</v>
      </c>
      <c r="AG891" s="1">
        <f t="shared" si="304"/>
        <v>0</v>
      </c>
      <c r="AH891" s="1">
        <f t="shared" si="305"/>
        <v>182.5</v>
      </c>
      <c r="AI891" s="5">
        <f t="shared" si="306"/>
        <v>0.5</v>
      </c>
      <c r="AJ891" s="5">
        <f t="shared" si="307"/>
        <v>0.46810875512995892</v>
      </c>
      <c r="AK891" s="5">
        <f t="shared" si="308"/>
        <v>3.0427069083447331</v>
      </c>
      <c r="AL891" s="5">
        <f t="shared" si="309"/>
        <v>3.0427069083447331</v>
      </c>
      <c r="AM891" s="5">
        <f t="shared" si="310"/>
        <v>0</v>
      </c>
      <c r="AN891" s="5">
        <f t="shared" si="311"/>
        <v>3.0427069083447331</v>
      </c>
      <c r="AO891" s="1" t="s">
        <v>102</v>
      </c>
    </row>
    <row r="892" spans="1:41" x14ac:dyDescent="0.25">
      <c r="A892" s="1" t="s">
        <v>19</v>
      </c>
      <c r="B892" s="1" t="s">
        <v>44</v>
      </c>
      <c r="C892" s="1" t="s">
        <v>21</v>
      </c>
      <c r="D892" s="1" t="s">
        <v>45</v>
      </c>
      <c r="E892" s="1" t="s">
        <v>96</v>
      </c>
      <c r="F892" s="1" t="s">
        <v>103</v>
      </c>
      <c r="G892" s="1" t="s">
        <v>320</v>
      </c>
      <c r="H892" s="1" t="s">
        <v>456</v>
      </c>
      <c r="I892" s="1" t="s">
        <v>174</v>
      </c>
      <c r="J892" s="1" t="s">
        <v>101</v>
      </c>
      <c r="L892" s="1">
        <v>2167159</v>
      </c>
      <c r="M892" s="1" t="s">
        <v>1048</v>
      </c>
      <c r="N892" s="8">
        <f>DATE(2017,5,8)</f>
        <v>42863</v>
      </c>
      <c r="O892" s="8">
        <f>DATE(2021,5,8)</f>
        <v>44324</v>
      </c>
      <c r="P892" s="1">
        <v>3420</v>
      </c>
      <c r="Q892" s="1">
        <v>3200</v>
      </c>
      <c r="R892" s="1">
        <f t="shared" si="294"/>
        <v>3200</v>
      </c>
      <c r="S892" s="1">
        <v>2.5</v>
      </c>
      <c r="U892" s="1">
        <f t="shared" si="295"/>
        <v>1462</v>
      </c>
      <c r="V892" s="7">
        <f t="shared" si="296"/>
        <v>2.188782489740082</v>
      </c>
      <c r="W892" s="7">
        <f t="shared" si="297"/>
        <v>798.90560875512995</v>
      </c>
      <c r="X892" s="7">
        <f t="shared" si="298"/>
        <v>0.99863201094391241</v>
      </c>
      <c r="AA892" s="8">
        <f t="shared" si="299"/>
        <v>44927</v>
      </c>
      <c r="AB892" s="8">
        <f t="shared" si="300"/>
        <v>45291</v>
      </c>
      <c r="AC892" s="1">
        <v>14</v>
      </c>
      <c r="AD892" s="1">
        <f t="shared" si="301"/>
        <v>0</v>
      </c>
      <c r="AE892" s="1">
        <f t="shared" si="302"/>
        <v>0</v>
      </c>
      <c r="AF892" s="1">
        <f t="shared" si="303"/>
        <v>0</v>
      </c>
      <c r="AG892" s="1">
        <f t="shared" si="304"/>
        <v>0</v>
      </c>
      <c r="AH892" s="1">
        <f t="shared" si="305"/>
        <v>182.5</v>
      </c>
      <c r="AI892" s="5">
        <f t="shared" si="306"/>
        <v>0.5</v>
      </c>
      <c r="AJ892" s="5">
        <f t="shared" si="307"/>
        <v>0.4993160054719562</v>
      </c>
      <c r="AK892" s="5">
        <f t="shared" si="308"/>
        <v>3.4952120383036935</v>
      </c>
      <c r="AL892" s="5">
        <f t="shared" si="309"/>
        <v>8.7380300957592336</v>
      </c>
      <c r="AM892" s="5">
        <f t="shared" si="310"/>
        <v>0</v>
      </c>
      <c r="AN892" s="5">
        <f t="shared" si="311"/>
        <v>8.7380300957592336</v>
      </c>
      <c r="AO892" s="1" t="s">
        <v>102</v>
      </c>
    </row>
    <row r="893" spans="1:41" x14ac:dyDescent="0.25">
      <c r="A893" s="1" t="s">
        <v>19</v>
      </c>
      <c r="B893" s="1" t="s">
        <v>44</v>
      </c>
      <c r="C893" s="1" t="s">
        <v>21</v>
      </c>
      <c r="D893" s="1" t="s">
        <v>45</v>
      </c>
      <c r="E893" s="1" t="s">
        <v>96</v>
      </c>
      <c r="F893" s="1" t="s">
        <v>103</v>
      </c>
      <c r="G893" s="1" t="s">
        <v>320</v>
      </c>
      <c r="H893" s="1" t="s">
        <v>353</v>
      </c>
      <c r="I893" s="1" t="s">
        <v>174</v>
      </c>
      <c r="J893" s="1" t="s">
        <v>101</v>
      </c>
      <c r="L893" s="1">
        <v>2167160</v>
      </c>
      <c r="M893" s="1" t="s">
        <v>1049</v>
      </c>
      <c r="N893" s="8">
        <f>DATE(2017,5,8)</f>
        <v>42863</v>
      </c>
      <c r="O893" s="8">
        <f>DATE(2021,5,8)</f>
        <v>44324</v>
      </c>
      <c r="P893" s="1">
        <v>3048</v>
      </c>
      <c r="Q893" s="1">
        <v>3200</v>
      </c>
      <c r="R893" s="1">
        <f t="shared" si="294"/>
        <v>3200</v>
      </c>
      <c r="S893" s="1">
        <v>2.5</v>
      </c>
      <c r="U893" s="1">
        <f t="shared" si="295"/>
        <v>1462</v>
      </c>
      <c r="V893" s="7">
        <f t="shared" si="296"/>
        <v>2.0848153214774281</v>
      </c>
      <c r="W893" s="7">
        <f t="shared" si="297"/>
        <v>760.95759233926128</v>
      </c>
      <c r="X893" s="7">
        <f t="shared" si="298"/>
        <v>0.95119699042407657</v>
      </c>
      <c r="AA893" s="8">
        <f t="shared" si="299"/>
        <v>44927</v>
      </c>
      <c r="AB893" s="8">
        <f t="shared" si="300"/>
        <v>45291</v>
      </c>
      <c r="AC893" s="1">
        <v>8</v>
      </c>
      <c r="AD893" s="1">
        <f t="shared" si="301"/>
        <v>0</v>
      </c>
      <c r="AE893" s="1">
        <f t="shared" si="302"/>
        <v>0</v>
      </c>
      <c r="AF893" s="1">
        <f t="shared" si="303"/>
        <v>0</v>
      </c>
      <c r="AG893" s="1">
        <f t="shared" si="304"/>
        <v>0</v>
      </c>
      <c r="AH893" s="1">
        <f t="shared" si="305"/>
        <v>182.5</v>
      </c>
      <c r="AI893" s="5">
        <f t="shared" si="306"/>
        <v>0.5</v>
      </c>
      <c r="AJ893" s="5">
        <f t="shared" si="307"/>
        <v>0.47559849521203829</v>
      </c>
      <c r="AK893" s="5">
        <f t="shared" si="308"/>
        <v>1.9023939808481531</v>
      </c>
      <c r="AL893" s="5">
        <f t="shared" si="309"/>
        <v>4.7559849521203832</v>
      </c>
      <c r="AM893" s="5">
        <f t="shared" si="310"/>
        <v>0</v>
      </c>
      <c r="AN893" s="5">
        <f t="shared" si="311"/>
        <v>4.7559849521203832</v>
      </c>
      <c r="AO893" s="1" t="s">
        <v>102</v>
      </c>
    </row>
    <row r="894" spans="1:41" x14ac:dyDescent="0.25">
      <c r="A894" s="1" t="s">
        <v>19</v>
      </c>
      <c r="B894" s="1" t="s">
        <v>44</v>
      </c>
      <c r="C894" s="1" t="s">
        <v>21</v>
      </c>
      <c r="D894" s="1" t="s">
        <v>45</v>
      </c>
      <c r="E894" s="1" t="s">
        <v>96</v>
      </c>
      <c r="F894" s="1" t="s">
        <v>103</v>
      </c>
      <c r="G894" s="1" t="s">
        <v>114</v>
      </c>
      <c r="H894" s="1" t="s">
        <v>214</v>
      </c>
      <c r="I894" s="1" t="s">
        <v>100</v>
      </c>
      <c r="J894" s="1" t="s">
        <v>101</v>
      </c>
      <c r="K894" s="1" t="s">
        <v>116</v>
      </c>
      <c r="L894" s="1">
        <v>2487028</v>
      </c>
      <c r="M894" s="1" t="s">
        <v>1050</v>
      </c>
      <c r="N894" s="8">
        <f>DATE(2018,3,5)</f>
        <v>43164</v>
      </c>
      <c r="O894" s="8">
        <f>DATE(2020,12,22)</f>
        <v>44187</v>
      </c>
      <c r="P894" s="1">
        <v>3560</v>
      </c>
      <c r="Q894" s="1">
        <v>800</v>
      </c>
      <c r="R894" s="1">
        <f t="shared" si="294"/>
        <v>3000</v>
      </c>
      <c r="S894" s="1">
        <v>1.5</v>
      </c>
      <c r="U894" s="1">
        <f t="shared" si="295"/>
        <v>1024</v>
      </c>
      <c r="V894" s="7">
        <f t="shared" si="296"/>
        <v>2.9296875</v>
      </c>
      <c r="W894" s="7">
        <f t="shared" si="297"/>
        <v>1069.3359375</v>
      </c>
      <c r="X894" s="7">
        <f t="shared" si="298"/>
        <v>1.336669921875</v>
      </c>
      <c r="AA894" s="8">
        <f t="shared" si="299"/>
        <v>44927</v>
      </c>
      <c r="AB894" s="8">
        <f t="shared" si="300"/>
        <v>45291</v>
      </c>
      <c r="AC894" s="1">
        <v>1</v>
      </c>
      <c r="AD894" s="1">
        <f t="shared" si="301"/>
        <v>0</v>
      </c>
      <c r="AE894" s="1">
        <f t="shared" si="302"/>
        <v>0</v>
      </c>
      <c r="AF894" s="1">
        <f t="shared" si="303"/>
        <v>0</v>
      </c>
      <c r="AG894" s="1">
        <f t="shared" si="304"/>
        <v>0</v>
      </c>
      <c r="AH894" s="1">
        <f t="shared" si="305"/>
        <v>182.5</v>
      </c>
      <c r="AI894" s="5">
        <f t="shared" si="306"/>
        <v>0.5</v>
      </c>
      <c r="AJ894" s="5">
        <f t="shared" si="307"/>
        <v>0.6683349609375</v>
      </c>
      <c r="AK894" s="5">
        <f t="shared" si="308"/>
        <v>0.33416748046875</v>
      </c>
      <c r="AL894" s="5">
        <f t="shared" si="309"/>
        <v>0.501251220703125</v>
      </c>
      <c r="AM894" s="5">
        <f t="shared" si="310"/>
        <v>0</v>
      </c>
      <c r="AN894" s="5">
        <f t="shared" si="311"/>
        <v>0.501251220703125</v>
      </c>
      <c r="AO894" s="1" t="s">
        <v>102</v>
      </c>
    </row>
    <row r="895" spans="1:41" x14ac:dyDescent="0.25">
      <c r="A895" s="1" t="s">
        <v>19</v>
      </c>
      <c r="B895" s="1" t="s">
        <v>44</v>
      </c>
      <c r="C895" s="1" t="s">
        <v>21</v>
      </c>
      <c r="D895" s="1" t="s">
        <v>45</v>
      </c>
      <c r="E895" s="1" t="s">
        <v>96</v>
      </c>
      <c r="F895" s="1" t="s">
        <v>103</v>
      </c>
      <c r="G895" s="1" t="s">
        <v>114</v>
      </c>
      <c r="H895" s="1" t="s">
        <v>894</v>
      </c>
      <c r="I895" s="1" t="s">
        <v>157</v>
      </c>
      <c r="J895" s="1" t="s">
        <v>101</v>
      </c>
      <c r="K895" s="1" t="s">
        <v>116</v>
      </c>
      <c r="L895" s="1">
        <v>2487037</v>
      </c>
      <c r="M895" s="1" t="s">
        <v>1051</v>
      </c>
      <c r="N895" s="8">
        <f>DATE(2018,3,5)</f>
        <v>43164</v>
      </c>
      <c r="O895" s="8">
        <f>DATE(2020,12,22)</f>
        <v>44187</v>
      </c>
      <c r="P895" s="1">
        <v>3980</v>
      </c>
      <c r="Q895" s="1">
        <v>1200</v>
      </c>
      <c r="R895" s="1">
        <f t="shared" si="294"/>
        <v>3200</v>
      </c>
      <c r="S895" s="1">
        <v>1.5</v>
      </c>
      <c r="U895" s="1">
        <f t="shared" si="295"/>
        <v>1024</v>
      </c>
      <c r="V895" s="7">
        <f t="shared" si="296"/>
        <v>3.125</v>
      </c>
      <c r="W895" s="7">
        <f t="shared" si="297"/>
        <v>1140.625</v>
      </c>
      <c r="X895" s="7">
        <f t="shared" si="298"/>
        <v>1.42578125</v>
      </c>
      <c r="AA895" s="8">
        <f t="shared" si="299"/>
        <v>44927</v>
      </c>
      <c r="AB895" s="8">
        <f t="shared" si="300"/>
        <v>45291</v>
      </c>
      <c r="AC895" s="1">
        <v>1</v>
      </c>
      <c r="AD895" s="1">
        <f t="shared" si="301"/>
        <v>0</v>
      </c>
      <c r="AE895" s="1">
        <f t="shared" si="302"/>
        <v>0</v>
      </c>
      <c r="AF895" s="1">
        <f t="shared" si="303"/>
        <v>0</v>
      </c>
      <c r="AG895" s="1">
        <f t="shared" si="304"/>
        <v>0</v>
      </c>
      <c r="AH895" s="1">
        <f t="shared" si="305"/>
        <v>182.5</v>
      </c>
      <c r="AI895" s="5">
        <f t="shared" si="306"/>
        <v>0.5</v>
      </c>
      <c r="AJ895" s="5">
        <f t="shared" si="307"/>
        <v>0.712890625</v>
      </c>
      <c r="AK895" s="5">
        <f t="shared" si="308"/>
        <v>0.3564453125</v>
      </c>
      <c r="AL895" s="5">
        <f t="shared" si="309"/>
        <v>0.53466796875</v>
      </c>
      <c r="AM895" s="5">
        <f t="shared" si="310"/>
        <v>0</v>
      </c>
      <c r="AN895" s="5">
        <f t="shared" si="311"/>
        <v>0.53466796875</v>
      </c>
      <c r="AO895" s="1" t="s">
        <v>102</v>
      </c>
    </row>
    <row r="896" spans="1:41" x14ac:dyDescent="0.25">
      <c r="A896" s="1" t="s">
        <v>19</v>
      </c>
      <c r="B896" s="1" t="s">
        <v>44</v>
      </c>
      <c r="C896" s="1" t="s">
        <v>21</v>
      </c>
      <c r="D896" s="1" t="s">
        <v>45</v>
      </c>
      <c r="E896" s="1" t="s">
        <v>96</v>
      </c>
      <c r="F896" s="1" t="s">
        <v>103</v>
      </c>
      <c r="G896" s="1" t="s">
        <v>98</v>
      </c>
      <c r="H896" s="1" t="s">
        <v>99</v>
      </c>
      <c r="I896" s="1" t="s">
        <v>100</v>
      </c>
      <c r="J896" s="1" t="s">
        <v>101</v>
      </c>
      <c r="L896" s="1">
        <v>2502964</v>
      </c>
      <c r="M896" s="1" t="s">
        <v>1052</v>
      </c>
      <c r="N896" s="8">
        <f>DATE(2018,4,16)</f>
        <v>43206</v>
      </c>
      <c r="O896" s="8">
        <f>DATE(2021,12,30)</f>
        <v>44560</v>
      </c>
      <c r="P896" s="1">
        <v>3208</v>
      </c>
      <c r="Q896" s="1">
        <v>3000</v>
      </c>
      <c r="R896" s="1">
        <f t="shared" si="294"/>
        <v>3000</v>
      </c>
      <c r="S896" s="1">
        <v>1</v>
      </c>
      <c r="U896" s="1">
        <f t="shared" si="295"/>
        <v>1355</v>
      </c>
      <c r="V896" s="7">
        <f t="shared" si="296"/>
        <v>2.2140221402214024</v>
      </c>
      <c r="W896" s="7">
        <f t="shared" si="297"/>
        <v>808.11808118081194</v>
      </c>
      <c r="X896" s="7">
        <f t="shared" si="298"/>
        <v>1.0101476014760149</v>
      </c>
      <c r="AA896" s="8">
        <f t="shared" si="299"/>
        <v>44927</v>
      </c>
      <c r="AB896" s="8">
        <f t="shared" si="300"/>
        <v>45291</v>
      </c>
      <c r="AC896" s="1">
        <v>14</v>
      </c>
      <c r="AD896" s="1">
        <f t="shared" si="301"/>
        <v>0</v>
      </c>
      <c r="AE896" s="1">
        <f t="shared" si="302"/>
        <v>0</v>
      </c>
      <c r="AF896" s="1">
        <f t="shared" si="303"/>
        <v>0</v>
      </c>
      <c r="AG896" s="1">
        <f t="shared" si="304"/>
        <v>0</v>
      </c>
      <c r="AH896" s="1">
        <f t="shared" si="305"/>
        <v>182.5</v>
      </c>
      <c r="AI896" s="5">
        <f t="shared" si="306"/>
        <v>0.5</v>
      </c>
      <c r="AJ896" s="5">
        <f t="shared" si="307"/>
        <v>0.50507380073800745</v>
      </c>
      <c r="AK896" s="5">
        <f t="shared" si="308"/>
        <v>3.5355166051660523</v>
      </c>
      <c r="AL896" s="5">
        <f t="shared" si="309"/>
        <v>3.5355166051660523</v>
      </c>
      <c r="AM896" s="5">
        <f t="shared" si="310"/>
        <v>0</v>
      </c>
      <c r="AN896" s="5">
        <f t="shared" si="311"/>
        <v>3.5355166051660523</v>
      </c>
      <c r="AO896" s="1" t="s">
        <v>102</v>
      </c>
    </row>
    <row r="897" spans="1:41" x14ac:dyDescent="0.25">
      <c r="A897" s="1" t="s">
        <v>19</v>
      </c>
      <c r="B897" s="1" t="s">
        <v>44</v>
      </c>
      <c r="C897" s="1" t="s">
        <v>21</v>
      </c>
      <c r="D897" s="1" t="s">
        <v>45</v>
      </c>
      <c r="E897" s="1" t="s">
        <v>96</v>
      </c>
      <c r="F897" s="1" t="s">
        <v>103</v>
      </c>
      <c r="G897" s="1" t="s">
        <v>320</v>
      </c>
      <c r="H897" s="1" t="s">
        <v>353</v>
      </c>
      <c r="I897" s="1" t="s">
        <v>174</v>
      </c>
      <c r="J897" s="1" t="s">
        <v>101</v>
      </c>
      <c r="L897" s="1">
        <v>2502967</v>
      </c>
      <c r="M897" s="1" t="s">
        <v>1053</v>
      </c>
      <c r="N897" s="8">
        <f>DATE(2018,4,16)</f>
        <v>43206</v>
      </c>
      <c r="O897" s="8">
        <f>DATE(2021,12,30)</f>
        <v>44560</v>
      </c>
      <c r="P897" s="1">
        <v>3048</v>
      </c>
      <c r="Q897" s="1">
        <v>3200</v>
      </c>
      <c r="R897" s="1">
        <f t="shared" si="294"/>
        <v>3200</v>
      </c>
      <c r="S897" s="1">
        <v>2.5</v>
      </c>
      <c r="U897" s="1">
        <f t="shared" si="295"/>
        <v>1355</v>
      </c>
      <c r="V897" s="7">
        <f t="shared" si="296"/>
        <v>2.2494464944649448</v>
      </c>
      <c r="W897" s="7">
        <f t="shared" si="297"/>
        <v>821.04797047970487</v>
      </c>
      <c r="X897" s="7">
        <f t="shared" si="298"/>
        <v>1.0263099630996311</v>
      </c>
      <c r="AA897" s="8">
        <f t="shared" si="299"/>
        <v>44927</v>
      </c>
      <c r="AB897" s="8">
        <f t="shared" si="300"/>
        <v>45291</v>
      </c>
      <c r="AC897" s="1">
        <v>13</v>
      </c>
      <c r="AD897" s="1">
        <f t="shared" si="301"/>
        <v>0</v>
      </c>
      <c r="AE897" s="1">
        <f t="shared" si="302"/>
        <v>0</v>
      </c>
      <c r="AF897" s="1">
        <f t="shared" si="303"/>
        <v>0</v>
      </c>
      <c r="AG897" s="1">
        <f t="shared" si="304"/>
        <v>0</v>
      </c>
      <c r="AH897" s="1">
        <f t="shared" si="305"/>
        <v>182.5</v>
      </c>
      <c r="AI897" s="5">
        <f t="shared" si="306"/>
        <v>0.5</v>
      </c>
      <c r="AJ897" s="5">
        <f t="shared" si="307"/>
        <v>0.51315498154981554</v>
      </c>
      <c r="AK897" s="5">
        <f t="shared" si="308"/>
        <v>3.3355073800738011</v>
      </c>
      <c r="AL897" s="5">
        <f t="shared" si="309"/>
        <v>8.338768450184503</v>
      </c>
      <c r="AM897" s="5">
        <f t="shared" si="310"/>
        <v>0</v>
      </c>
      <c r="AN897" s="5">
        <f t="shared" si="311"/>
        <v>8.338768450184503</v>
      </c>
      <c r="AO897" s="1" t="s">
        <v>102</v>
      </c>
    </row>
    <row r="898" spans="1:41" x14ac:dyDescent="0.25">
      <c r="A898" s="1" t="s">
        <v>19</v>
      </c>
      <c r="B898" s="1" t="s">
        <v>44</v>
      </c>
      <c r="C898" s="1" t="s">
        <v>21</v>
      </c>
      <c r="D898" s="1" t="s">
        <v>45</v>
      </c>
      <c r="E898" s="1" t="s">
        <v>96</v>
      </c>
      <c r="F898" s="1" t="s">
        <v>103</v>
      </c>
      <c r="G898" s="1" t="s">
        <v>320</v>
      </c>
      <c r="H898" s="1" t="s">
        <v>456</v>
      </c>
      <c r="I898" s="1" t="s">
        <v>174</v>
      </c>
      <c r="J898" s="1" t="s">
        <v>101</v>
      </c>
      <c r="L898" s="1">
        <v>2502969</v>
      </c>
      <c r="M898" s="1" t="s">
        <v>1054</v>
      </c>
      <c r="N898" s="8">
        <f>DATE(2018,4,16)</f>
        <v>43206</v>
      </c>
      <c r="O898" s="8">
        <f>DATE(2021,12,30)</f>
        <v>44560</v>
      </c>
      <c r="P898" s="1">
        <v>3420</v>
      </c>
      <c r="Q898" s="1">
        <v>3200</v>
      </c>
      <c r="R898" s="1">
        <f t="shared" si="294"/>
        <v>3200</v>
      </c>
      <c r="S898" s="1">
        <v>2.5</v>
      </c>
      <c r="U898" s="1">
        <f t="shared" si="295"/>
        <v>1355</v>
      </c>
      <c r="V898" s="7">
        <f t="shared" si="296"/>
        <v>2.3616236162361623</v>
      </c>
      <c r="W898" s="7">
        <f t="shared" si="297"/>
        <v>861.99261992619927</v>
      </c>
      <c r="X898" s="7">
        <f t="shared" si="298"/>
        <v>1.0774907749077491</v>
      </c>
      <c r="AA898" s="8">
        <f t="shared" si="299"/>
        <v>44927</v>
      </c>
      <c r="AB898" s="8">
        <f t="shared" si="300"/>
        <v>45291</v>
      </c>
      <c r="AC898" s="1">
        <v>15</v>
      </c>
      <c r="AD898" s="1">
        <f t="shared" si="301"/>
        <v>0</v>
      </c>
      <c r="AE898" s="1">
        <f t="shared" si="302"/>
        <v>0</v>
      </c>
      <c r="AF898" s="1">
        <f t="shared" si="303"/>
        <v>0</v>
      </c>
      <c r="AG898" s="1">
        <f t="shared" si="304"/>
        <v>0</v>
      </c>
      <c r="AH898" s="1">
        <f t="shared" si="305"/>
        <v>182.5</v>
      </c>
      <c r="AI898" s="5">
        <f t="shared" si="306"/>
        <v>0.5</v>
      </c>
      <c r="AJ898" s="5">
        <f t="shared" si="307"/>
        <v>0.53874538745387457</v>
      </c>
      <c r="AK898" s="5">
        <f t="shared" si="308"/>
        <v>4.0405904059040596</v>
      </c>
      <c r="AL898" s="5">
        <f t="shared" si="309"/>
        <v>10.101476014760149</v>
      </c>
      <c r="AM898" s="5">
        <f t="shared" si="310"/>
        <v>0</v>
      </c>
      <c r="AN898" s="5">
        <f t="shared" si="311"/>
        <v>10.101476014760149</v>
      </c>
      <c r="AO898" s="1" t="s">
        <v>102</v>
      </c>
    </row>
    <row r="899" spans="1:41" x14ac:dyDescent="0.25">
      <c r="A899" s="1" t="s">
        <v>19</v>
      </c>
      <c r="B899" s="1" t="s">
        <v>44</v>
      </c>
      <c r="C899" s="1" t="s">
        <v>21</v>
      </c>
      <c r="D899" s="1" t="s">
        <v>45</v>
      </c>
      <c r="E899" s="1" t="s">
        <v>96</v>
      </c>
      <c r="F899" s="1" t="s">
        <v>103</v>
      </c>
      <c r="G899" s="1" t="s">
        <v>114</v>
      </c>
      <c r="H899" s="1" t="s">
        <v>119</v>
      </c>
      <c r="I899" s="1" t="s">
        <v>105</v>
      </c>
      <c r="J899" s="1" t="s">
        <v>106</v>
      </c>
      <c r="K899" s="1" t="s">
        <v>116</v>
      </c>
      <c r="L899" s="1">
        <v>2581618</v>
      </c>
      <c r="M899" s="1" t="s">
        <v>1055</v>
      </c>
      <c r="N899" s="8">
        <f>DATE(2019,2,4)</f>
        <v>43500</v>
      </c>
      <c r="O899" s="8">
        <f>DATE(2021,12,23)</f>
        <v>44553</v>
      </c>
      <c r="P899" s="1">
        <v>4048</v>
      </c>
      <c r="Q899" s="1">
        <v>1200</v>
      </c>
      <c r="R899" s="1">
        <f t="shared" si="294"/>
        <v>3200</v>
      </c>
      <c r="S899" s="1">
        <v>2.5</v>
      </c>
      <c r="U899" s="1">
        <f t="shared" si="295"/>
        <v>1054</v>
      </c>
      <c r="V899" s="7">
        <f t="shared" si="296"/>
        <v>3.0360531309297913</v>
      </c>
      <c r="W899" s="7">
        <f t="shared" si="297"/>
        <v>1108.1593927893739</v>
      </c>
      <c r="X899" s="7">
        <f t="shared" si="298"/>
        <v>1.3851992409867173</v>
      </c>
      <c r="AA899" s="8">
        <f t="shared" si="299"/>
        <v>44927</v>
      </c>
      <c r="AB899" s="8">
        <f t="shared" si="300"/>
        <v>45291</v>
      </c>
      <c r="AC899" s="1">
        <v>1</v>
      </c>
      <c r="AD899" s="1">
        <f t="shared" si="301"/>
        <v>0</v>
      </c>
      <c r="AE899" s="1">
        <f t="shared" si="302"/>
        <v>0</v>
      </c>
      <c r="AF899" s="1">
        <f t="shared" si="303"/>
        <v>0</v>
      </c>
      <c r="AG899" s="1">
        <f t="shared" si="304"/>
        <v>0</v>
      </c>
      <c r="AH899" s="1">
        <f t="shared" si="305"/>
        <v>182.5</v>
      </c>
      <c r="AI899" s="5">
        <f t="shared" si="306"/>
        <v>0.5</v>
      </c>
      <c r="AJ899" s="5">
        <f t="shared" si="307"/>
        <v>0.69259962049335866</v>
      </c>
      <c r="AK899" s="5">
        <f t="shared" si="308"/>
        <v>0.34629981024667933</v>
      </c>
      <c r="AL899" s="5">
        <f t="shared" si="309"/>
        <v>0.86574952561669827</v>
      </c>
      <c r="AM899" s="5">
        <f t="shared" si="310"/>
        <v>0.43287476280834913</v>
      </c>
      <c r="AN899" s="5">
        <f t="shared" si="311"/>
        <v>1.2986242884250474</v>
      </c>
      <c r="AO899" s="1" t="s">
        <v>102</v>
      </c>
    </row>
    <row r="900" spans="1:41" x14ac:dyDescent="0.25">
      <c r="A900" s="1" t="s">
        <v>19</v>
      </c>
      <c r="B900" s="1" t="s">
        <v>44</v>
      </c>
      <c r="C900" s="1" t="s">
        <v>21</v>
      </c>
      <c r="D900" s="1" t="s">
        <v>45</v>
      </c>
      <c r="E900" s="1" t="s">
        <v>96</v>
      </c>
      <c r="F900" s="1" t="s">
        <v>103</v>
      </c>
      <c r="G900" s="1" t="s">
        <v>114</v>
      </c>
      <c r="H900" s="1" t="s">
        <v>894</v>
      </c>
      <c r="I900" s="1" t="s">
        <v>157</v>
      </c>
      <c r="J900" s="1" t="s">
        <v>101</v>
      </c>
      <c r="K900" s="1" t="s">
        <v>116</v>
      </c>
      <c r="L900" s="1">
        <v>2581712</v>
      </c>
      <c r="M900" s="1" t="s">
        <v>1056</v>
      </c>
      <c r="N900" s="8">
        <f>DATE(2019,2,4)</f>
        <v>43500</v>
      </c>
      <c r="O900" s="8">
        <f>DATE(2021,12,23)</f>
        <v>44553</v>
      </c>
      <c r="P900" s="1">
        <v>3980</v>
      </c>
      <c r="Q900" s="1">
        <v>1200</v>
      </c>
      <c r="R900" s="1">
        <f t="shared" si="294"/>
        <v>3200</v>
      </c>
      <c r="S900" s="1">
        <v>1.5</v>
      </c>
      <c r="U900" s="1">
        <f t="shared" si="295"/>
        <v>1054</v>
      </c>
      <c r="V900" s="7">
        <f t="shared" si="296"/>
        <v>3.0360531309297913</v>
      </c>
      <c r="W900" s="7">
        <f t="shared" si="297"/>
        <v>1108.1593927893739</v>
      </c>
      <c r="X900" s="7">
        <f t="shared" si="298"/>
        <v>1.3851992409867173</v>
      </c>
      <c r="AA900" s="8">
        <f t="shared" si="299"/>
        <v>44927</v>
      </c>
      <c r="AB900" s="8">
        <f t="shared" si="300"/>
        <v>45291</v>
      </c>
      <c r="AC900" s="1">
        <v>2</v>
      </c>
      <c r="AD900" s="1">
        <f t="shared" si="301"/>
        <v>0</v>
      </c>
      <c r="AE900" s="1">
        <f t="shared" si="302"/>
        <v>0</v>
      </c>
      <c r="AF900" s="1">
        <f t="shared" si="303"/>
        <v>0</v>
      </c>
      <c r="AG900" s="1">
        <f t="shared" si="304"/>
        <v>0</v>
      </c>
      <c r="AH900" s="1">
        <f t="shared" si="305"/>
        <v>182.5</v>
      </c>
      <c r="AI900" s="5">
        <f t="shared" si="306"/>
        <v>0.5</v>
      </c>
      <c r="AJ900" s="5">
        <f t="shared" si="307"/>
        <v>0.69259962049335866</v>
      </c>
      <c r="AK900" s="5">
        <f t="shared" si="308"/>
        <v>0.69259962049335866</v>
      </c>
      <c r="AL900" s="5">
        <f t="shared" si="309"/>
        <v>1.0388994307400381</v>
      </c>
      <c r="AM900" s="5">
        <f t="shared" si="310"/>
        <v>0</v>
      </c>
      <c r="AN900" s="5">
        <f t="shared" si="311"/>
        <v>1.0388994307400381</v>
      </c>
      <c r="AO900" s="1" t="s">
        <v>102</v>
      </c>
    </row>
    <row r="901" spans="1:41" x14ac:dyDescent="0.25">
      <c r="A901" s="1" t="s">
        <v>19</v>
      </c>
      <c r="B901" s="1" t="s">
        <v>44</v>
      </c>
      <c r="C901" s="1" t="s">
        <v>21</v>
      </c>
      <c r="D901" s="1" t="s">
        <v>45</v>
      </c>
      <c r="E901" s="1" t="s">
        <v>96</v>
      </c>
      <c r="F901" s="1" t="s">
        <v>103</v>
      </c>
      <c r="G901" s="1" t="s">
        <v>320</v>
      </c>
      <c r="H901" s="1" t="s">
        <v>456</v>
      </c>
      <c r="I901" s="1" t="s">
        <v>174</v>
      </c>
      <c r="J901" s="1" t="s">
        <v>101</v>
      </c>
      <c r="L901" s="1">
        <v>2602048</v>
      </c>
      <c r="M901" s="1" t="s">
        <v>1057</v>
      </c>
      <c r="N901" s="8">
        <f>DATE(2019,4,2)</f>
        <v>43557</v>
      </c>
      <c r="O901" s="8">
        <f>DATE(2022,4,29)</f>
        <v>44680</v>
      </c>
      <c r="P901" s="1">
        <v>3420</v>
      </c>
      <c r="Q901" s="1">
        <v>3200</v>
      </c>
      <c r="R901" s="1">
        <f t="shared" si="294"/>
        <v>3200</v>
      </c>
      <c r="S901" s="1">
        <v>2.5</v>
      </c>
      <c r="U901" s="1">
        <f t="shared" si="295"/>
        <v>1124</v>
      </c>
      <c r="V901" s="7">
        <f t="shared" si="296"/>
        <v>2.8469750889679717</v>
      </c>
      <c r="W901" s="7">
        <f t="shared" si="297"/>
        <v>1039.1459074733098</v>
      </c>
      <c r="X901" s="7">
        <f t="shared" si="298"/>
        <v>1.2989323843416372</v>
      </c>
      <c r="AA901" s="8">
        <f t="shared" si="299"/>
        <v>44927</v>
      </c>
      <c r="AB901" s="8">
        <f t="shared" si="300"/>
        <v>45291</v>
      </c>
      <c r="AC901" s="1">
        <v>21</v>
      </c>
      <c r="AD901" s="1">
        <f t="shared" si="301"/>
        <v>0</v>
      </c>
      <c r="AE901" s="1">
        <f t="shared" si="302"/>
        <v>0</v>
      </c>
      <c r="AF901" s="1">
        <f t="shared" si="303"/>
        <v>0</v>
      </c>
      <c r="AG901" s="1">
        <f t="shared" si="304"/>
        <v>0</v>
      </c>
      <c r="AH901" s="1">
        <f t="shared" si="305"/>
        <v>182.5</v>
      </c>
      <c r="AI901" s="5">
        <f t="shared" si="306"/>
        <v>0.5</v>
      </c>
      <c r="AJ901" s="5">
        <f t="shared" si="307"/>
        <v>0.64946619217081858</v>
      </c>
      <c r="AK901" s="5">
        <f t="shared" si="308"/>
        <v>6.8193950177935951</v>
      </c>
      <c r="AL901" s="5">
        <f t="shared" si="309"/>
        <v>17.048487544483987</v>
      </c>
      <c r="AM901" s="5">
        <f t="shared" si="310"/>
        <v>0</v>
      </c>
      <c r="AN901" s="5">
        <f t="shared" si="311"/>
        <v>17.048487544483987</v>
      </c>
      <c r="AO901" s="1" t="s">
        <v>102</v>
      </c>
    </row>
    <row r="902" spans="1:41" x14ac:dyDescent="0.25">
      <c r="A902" s="1" t="s">
        <v>19</v>
      </c>
      <c r="B902" s="1" t="s">
        <v>44</v>
      </c>
      <c r="C902" s="1" t="s">
        <v>21</v>
      </c>
      <c r="D902" s="1" t="s">
        <v>45</v>
      </c>
      <c r="E902" s="1" t="s">
        <v>96</v>
      </c>
      <c r="F902" s="1" t="s">
        <v>103</v>
      </c>
      <c r="G902" s="1" t="s">
        <v>320</v>
      </c>
      <c r="H902" s="1" t="s">
        <v>353</v>
      </c>
      <c r="I902" s="1" t="s">
        <v>174</v>
      </c>
      <c r="J902" s="1" t="s">
        <v>101</v>
      </c>
      <c r="L902" s="1">
        <v>2602098</v>
      </c>
      <c r="M902" s="1" t="s">
        <v>1058</v>
      </c>
      <c r="N902" s="8">
        <f>DATE(2019,4,3)</f>
        <v>43558</v>
      </c>
      <c r="O902" s="8">
        <f>DATE(2022,4,29)</f>
        <v>44680</v>
      </c>
      <c r="P902" s="1">
        <v>3400</v>
      </c>
      <c r="Q902" s="1">
        <v>3200</v>
      </c>
      <c r="R902" s="1">
        <f t="shared" si="294"/>
        <v>3200</v>
      </c>
      <c r="S902" s="1">
        <v>2.5</v>
      </c>
      <c r="U902" s="1">
        <f t="shared" si="295"/>
        <v>1123</v>
      </c>
      <c r="V902" s="7">
        <f t="shared" si="296"/>
        <v>2.8495102404274264</v>
      </c>
      <c r="W902" s="7">
        <f t="shared" si="297"/>
        <v>1040.0712377560105</v>
      </c>
      <c r="X902" s="7">
        <f t="shared" si="298"/>
        <v>1.3000890471950131</v>
      </c>
      <c r="AA902" s="8">
        <f t="shared" si="299"/>
        <v>44927</v>
      </c>
      <c r="AB902" s="8">
        <f t="shared" si="300"/>
        <v>45291</v>
      </c>
      <c r="AC902" s="1">
        <v>12</v>
      </c>
      <c r="AD902" s="1">
        <f t="shared" si="301"/>
        <v>0</v>
      </c>
      <c r="AE902" s="1">
        <f t="shared" si="302"/>
        <v>0</v>
      </c>
      <c r="AF902" s="1">
        <f t="shared" si="303"/>
        <v>0</v>
      </c>
      <c r="AG902" s="1">
        <f t="shared" si="304"/>
        <v>0</v>
      </c>
      <c r="AH902" s="1">
        <f t="shared" si="305"/>
        <v>182.5</v>
      </c>
      <c r="AI902" s="5">
        <f t="shared" si="306"/>
        <v>0.5</v>
      </c>
      <c r="AJ902" s="5">
        <f t="shared" si="307"/>
        <v>0.65004452359750653</v>
      </c>
      <c r="AK902" s="5">
        <f t="shared" si="308"/>
        <v>3.9002671415850392</v>
      </c>
      <c r="AL902" s="5">
        <f t="shared" si="309"/>
        <v>9.7506678539625984</v>
      </c>
      <c r="AM902" s="5">
        <f t="shared" si="310"/>
        <v>0</v>
      </c>
      <c r="AN902" s="5">
        <f t="shared" si="311"/>
        <v>9.7506678539625984</v>
      </c>
      <c r="AO902" s="1" t="s">
        <v>102</v>
      </c>
    </row>
    <row r="903" spans="1:41" x14ac:dyDescent="0.25">
      <c r="A903" s="1" t="s">
        <v>19</v>
      </c>
      <c r="B903" s="1" t="s">
        <v>44</v>
      </c>
      <c r="C903" s="1" t="s">
        <v>21</v>
      </c>
      <c r="D903" s="1" t="s">
        <v>45</v>
      </c>
      <c r="E903" s="1" t="s">
        <v>96</v>
      </c>
      <c r="F903" s="1" t="s">
        <v>103</v>
      </c>
      <c r="G903" s="1" t="s">
        <v>98</v>
      </c>
      <c r="H903" s="1" t="s">
        <v>99</v>
      </c>
      <c r="I903" s="1" t="s">
        <v>100</v>
      </c>
      <c r="J903" s="1" t="s">
        <v>101</v>
      </c>
      <c r="L903" s="1">
        <v>2602045</v>
      </c>
      <c r="M903" s="1" t="s">
        <v>1059</v>
      </c>
      <c r="N903" s="8">
        <f>DATE(2019,4,4)</f>
        <v>43559</v>
      </c>
      <c r="O903" s="8">
        <f>DATE(2023,4,30)</f>
        <v>45046</v>
      </c>
      <c r="P903" s="1">
        <v>3208</v>
      </c>
      <c r="Q903" s="1">
        <v>3000</v>
      </c>
      <c r="R903" s="1">
        <f t="shared" si="294"/>
        <v>3000</v>
      </c>
      <c r="S903" s="1">
        <v>1</v>
      </c>
      <c r="U903" s="1">
        <f t="shared" si="295"/>
        <v>1488</v>
      </c>
      <c r="V903" s="7">
        <f t="shared" si="296"/>
        <v>2.0161290322580645</v>
      </c>
      <c r="W903" s="7">
        <f t="shared" si="297"/>
        <v>735.88709677419354</v>
      </c>
      <c r="X903" s="7">
        <f t="shared" si="298"/>
        <v>0.91985887096774188</v>
      </c>
      <c r="AA903" s="8">
        <f t="shared" si="299"/>
        <v>44927</v>
      </c>
      <c r="AB903" s="8">
        <f t="shared" si="300"/>
        <v>45291</v>
      </c>
      <c r="AC903" s="1">
        <v>31</v>
      </c>
      <c r="AD903" s="1">
        <f t="shared" si="301"/>
        <v>0</v>
      </c>
      <c r="AE903" s="1">
        <f t="shared" si="302"/>
        <v>0</v>
      </c>
      <c r="AF903" s="1">
        <f t="shared" si="303"/>
        <v>120</v>
      </c>
      <c r="AG903" s="1">
        <f t="shared" si="304"/>
        <v>0</v>
      </c>
      <c r="AH903" s="1">
        <f t="shared" si="305"/>
        <v>0</v>
      </c>
      <c r="AI903" s="5">
        <f t="shared" si="306"/>
        <v>0.32876712328767121</v>
      </c>
      <c r="AJ903" s="5">
        <f t="shared" si="307"/>
        <v>0.30241935483870963</v>
      </c>
      <c r="AK903" s="5">
        <f t="shared" si="308"/>
        <v>9.3749999999999982</v>
      </c>
      <c r="AL903" s="5">
        <f t="shared" si="309"/>
        <v>9.3749999999999982</v>
      </c>
      <c r="AM903" s="5">
        <f t="shared" si="310"/>
        <v>0</v>
      </c>
      <c r="AN903" s="5">
        <f t="shared" si="311"/>
        <v>9.3749999999999982</v>
      </c>
      <c r="AO903" s="1" t="s">
        <v>102</v>
      </c>
    </row>
    <row r="904" spans="1:41" x14ac:dyDescent="0.25">
      <c r="A904" s="1" t="s">
        <v>19</v>
      </c>
      <c r="B904" s="1" t="s">
        <v>44</v>
      </c>
      <c r="C904" s="1" t="s">
        <v>21</v>
      </c>
      <c r="D904" s="1" t="s">
        <v>45</v>
      </c>
      <c r="E904" s="1" t="s">
        <v>96</v>
      </c>
      <c r="F904" s="1" t="s">
        <v>103</v>
      </c>
      <c r="G904" s="1" t="s">
        <v>114</v>
      </c>
      <c r="H904" s="1" t="s">
        <v>119</v>
      </c>
      <c r="I904" s="1" t="s">
        <v>105</v>
      </c>
      <c r="J904" s="1" t="s">
        <v>106</v>
      </c>
      <c r="K904" s="1" t="s">
        <v>116</v>
      </c>
      <c r="L904" s="1">
        <v>2687040</v>
      </c>
      <c r="M904" s="1" t="s">
        <v>1060</v>
      </c>
      <c r="N904" s="8">
        <f>DATE(2020,2,3)</f>
        <v>43864</v>
      </c>
      <c r="O904" s="8">
        <f>DATE(2022,12,23)</f>
        <v>44918</v>
      </c>
      <c r="P904" s="1">
        <v>4048</v>
      </c>
      <c r="Q904" s="1">
        <v>1200</v>
      </c>
      <c r="R904" s="1">
        <f t="shared" si="294"/>
        <v>3200</v>
      </c>
      <c r="S904" s="1">
        <v>2.5</v>
      </c>
      <c r="U904" s="1">
        <f t="shared" si="295"/>
        <v>1055</v>
      </c>
      <c r="V904" s="7">
        <f t="shared" si="296"/>
        <v>3.0331753554502368</v>
      </c>
      <c r="W904" s="7">
        <f t="shared" si="297"/>
        <v>1107.1090047393363</v>
      </c>
      <c r="X904" s="7">
        <f t="shared" si="298"/>
        <v>1.3838862559241705</v>
      </c>
      <c r="AA904" s="8">
        <f t="shared" si="299"/>
        <v>44927</v>
      </c>
      <c r="AB904" s="8">
        <f t="shared" si="300"/>
        <v>45291</v>
      </c>
      <c r="AC904" s="1">
        <v>14</v>
      </c>
      <c r="AD904" s="1">
        <f t="shared" si="301"/>
        <v>0</v>
      </c>
      <c r="AE904" s="1">
        <f t="shared" si="302"/>
        <v>0</v>
      </c>
      <c r="AF904" s="1">
        <f t="shared" si="303"/>
        <v>0</v>
      </c>
      <c r="AG904" s="1">
        <f t="shared" si="304"/>
        <v>0</v>
      </c>
      <c r="AH904" s="1">
        <f t="shared" si="305"/>
        <v>182.5</v>
      </c>
      <c r="AI904" s="5">
        <f t="shared" si="306"/>
        <v>0.5</v>
      </c>
      <c r="AJ904" s="5">
        <f t="shared" si="307"/>
        <v>0.69194312796208524</v>
      </c>
      <c r="AK904" s="5">
        <f t="shared" si="308"/>
        <v>4.8436018957345963</v>
      </c>
      <c r="AL904" s="5">
        <f t="shared" si="309"/>
        <v>12.109004739336491</v>
      </c>
      <c r="AM904" s="5">
        <f t="shared" si="310"/>
        <v>6.0545023696682456</v>
      </c>
      <c r="AN904" s="5">
        <f t="shared" si="311"/>
        <v>18.163507109004737</v>
      </c>
      <c r="AO904" s="1" t="s">
        <v>102</v>
      </c>
    </row>
    <row r="905" spans="1:41" x14ac:dyDescent="0.25">
      <c r="A905" s="1" t="s">
        <v>19</v>
      </c>
      <c r="B905" s="1" t="s">
        <v>44</v>
      </c>
      <c r="C905" s="1" t="s">
        <v>21</v>
      </c>
      <c r="D905" s="1" t="s">
        <v>45</v>
      </c>
      <c r="E905" s="1" t="s">
        <v>96</v>
      </c>
      <c r="F905" s="1" t="s">
        <v>103</v>
      </c>
      <c r="G905" s="1" t="s">
        <v>114</v>
      </c>
      <c r="H905" s="1" t="s">
        <v>214</v>
      </c>
      <c r="I905" s="1" t="s">
        <v>100</v>
      </c>
      <c r="J905" s="1" t="s">
        <v>101</v>
      </c>
      <c r="K905" s="1" t="s">
        <v>116</v>
      </c>
      <c r="L905" s="1">
        <v>2690021</v>
      </c>
      <c r="M905" s="1" t="s">
        <v>1061</v>
      </c>
      <c r="N905" s="8">
        <f>DATE(2020,2,3)</f>
        <v>43864</v>
      </c>
      <c r="O905" s="8">
        <f>DATE(2022,12,23)</f>
        <v>44918</v>
      </c>
      <c r="P905" s="1">
        <v>3560</v>
      </c>
      <c r="Q905" s="1">
        <v>800</v>
      </c>
      <c r="R905" s="1">
        <f t="shared" si="294"/>
        <v>3000</v>
      </c>
      <c r="S905" s="1">
        <v>1.5</v>
      </c>
      <c r="U905" s="1">
        <f t="shared" si="295"/>
        <v>1055</v>
      </c>
      <c r="V905" s="7">
        <f t="shared" si="296"/>
        <v>2.8436018957345972</v>
      </c>
      <c r="W905" s="7">
        <f t="shared" si="297"/>
        <v>1037.914691943128</v>
      </c>
      <c r="X905" s="7">
        <f t="shared" si="298"/>
        <v>1.29739336492891</v>
      </c>
      <c r="AA905" s="8">
        <f t="shared" si="299"/>
        <v>44927</v>
      </c>
      <c r="AB905" s="8">
        <f t="shared" si="300"/>
        <v>45291</v>
      </c>
      <c r="AC905" s="1">
        <v>0</v>
      </c>
      <c r="AD905" s="1">
        <f t="shared" si="301"/>
        <v>0</v>
      </c>
      <c r="AE905" s="1">
        <f t="shared" si="302"/>
        <v>0</v>
      </c>
      <c r="AF905" s="1">
        <f t="shared" si="303"/>
        <v>0</v>
      </c>
      <c r="AG905" s="1">
        <f t="shared" si="304"/>
        <v>0</v>
      </c>
      <c r="AH905" s="1">
        <f t="shared" si="305"/>
        <v>182.5</v>
      </c>
      <c r="AI905" s="5">
        <f t="shared" si="306"/>
        <v>0.5</v>
      </c>
      <c r="AJ905" s="5">
        <f t="shared" si="307"/>
        <v>0.648696682464455</v>
      </c>
      <c r="AK905" s="5">
        <f t="shared" si="308"/>
        <v>0</v>
      </c>
      <c r="AL905" s="5">
        <f t="shared" si="309"/>
        <v>0</v>
      </c>
      <c r="AM905" s="5">
        <f t="shared" si="310"/>
        <v>0</v>
      </c>
      <c r="AN905" s="5">
        <f t="shared" si="311"/>
        <v>0</v>
      </c>
      <c r="AO905" s="1" t="s">
        <v>102</v>
      </c>
    </row>
    <row r="906" spans="1:41" x14ac:dyDescent="0.25">
      <c r="A906" s="1" t="s">
        <v>19</v>
      </c>
      <c r="B906" s="1" t="s">
        <v>44</v>
      </c>
      <c r="C906" s="1" t="s">
        <v>21</v>
      </c>
      <c r="D906" s="1" t="s">
        <v>45</v>
      </c>
      <c r="E906" s="1" t="s">
        <v>96</v>
      </c>
      <c r="F906" s="1" t="s">
        <v>103</v>
      </c>
      <c r="G906" s="1" t="s">
        <v>114</v>
      </c>
      <c r="H906" s="1" t="s">
        <v>894</v>
      </c>
      <c r="I906" s="1" t="s">
        <v>157</v>
      </c>
      <c r="J906" s="1" t="s">
        <v>101</v>
      </c>
      <c r="K906" s="1" t="s">
        <v>116</v>
      </c>
      <c r="L906" s="1">
        <v>2690044</v>
      </c>
      <c r="M906" s="1" t="s">
        <v>947</v>
      </c>
      <c r="N906" s="8">
        <f>DATE(2020,2,3)</f>
        <v>43864</v>
      </c>
      <c r="O906" s="8">
        <f>DATE(2022,12,23)</f>
        <v>44918</v>
      </c>
      <c r="P906" s="1">
        <v>3980</v>
      </c>
      <c r="Q906" s="1">
        <v>1200</v>
      </c>
      <c r="R906" s="1">
        <f t="shared" si="294"/>
        <v>3200</v>
      </c>
      <c r="S906" s="1">
        <v>1.5</v>
      </c>
      <c r="U906" s="1">
        <f t="shared" si="295"/>
        <v>1055</v>
      </c>
      <c r="V906" s="7">
        <f t="shared" si="296"/>
        <v>3.0331753554502368</v>
      </c>
      <c r="W906" s="7">
        <f t="shared" si="297"/>
        <v>1107.1090047393363</v>
      </c>
      <c r="X906" s="7">
        <f t="shared" si="298"/>
        <v>1.3838862559241705</v>
      </c>
      <c r="AA906" s="8">
        <f t="shared" si="299"/>
        <v>44927</v>
      </c>
      <c r="AB906" s="8">
        <f t="shared" si="300"/>
        <v>45291</v>
      </c>
      <c r="AC906" s="1">
        <v>5</v>
      </c>
      <c r="AD906" s="1">
        <f t="shared" si="301"/>
        <v>0</v>
      </c>
      <c r="AE906" s="1">
        <f t="shared" si="302"/>
        <v>0</v>
      </c>
      <c r="AF906" s="1">
        <f t="shared" si="303"/>
        <v>0</v>
      </c>
      <c r="AG906" s="1">
        <f t="shared" si="304"/>
        <v>0</v>
      </c>
      <c r="AH906" s="1">
        <f t="shared" si="305"/>
        <v>182.5</v>
      </c>
      <c r="AI906" s="5">
        <f t="shared" si="306"/>
        <v>0.5</v>
      </c>
      <c r="AJ906" s="5">
        <f t="shared" si="307"/>
        <v>0.69194312796208524</v>
      </c>
      <c r="AK906" s="5">
        <f t="shared" si="308"/>
        <v>1.729857819905213</v>
      </c>
      <c r="AL906" s="5">
        <f t="shared" si="309"/>
        <v>2.5947867298578196</v>
      </c>
      <c r="AM906" s="5">
        <f t="shared" si="310"/>
        <v>0</v>
      </c>
      <c r="AN906" s="5">
        <f t="shared" si="311"/>
        <v>2.5947867298578196</v>
      </c>
      <c r="AO906" s="1" t="s">
        <v>102</v>
      </c>
    </row>
    <row r="907" spans="1:41" x14ac:dyDescent="0.25">
      <c r="A907" s="1" t="s">
        <v>19</v>
      </c>
      <c r="B907" s="1" t="s">
        <v>44</v>
      </c>
      <c r="C907" s="1" t="s">
        <v>21</v>
      </c>
      <c r="D907" s="1" t="s">
        <v>45</v>
      </c>
      <c r="E907" s="1" t="s">
        <v>96</v>
      </c>
      <c r="F907" s="1" t="s">
        <v>103</v>
      </c>
      <c r="G907" s="1" t="s">
        <v>98</v>
      </c>
      <c r="H907" s="1" t="s">
        <v>99</v>
      </c>
      <c r="I907" s="1" t="s">
        <v>100</v>
      </c>
      <c r="J907" s="1" t="s">
        <v>101</v>
      </c>
      <c r="L907" s="1">
        <v>2693824</v>
      </c>
      <c r="M907" s="1" t="s">
        <v>1062</v>
      </c>
      <c r="N907" s="8">
        <f>DATE(2020,2,20)</f>
        <v>43881</v>
      </c>
      <c r="O907" s="8">
        <f>DATE(2023,12,29)</f>
        <v>45289</v>
      </c>
      <c r="P907" s="1">
        <v>3208</v>
      </c>
      <c r="Q907" s="1">
        <v>3000</v>
      </c>
      <c r="R907" s="1">
        <f t="shared" si="294"/>
        <v>3000</v>
      </c>
      <c r="S907" s="1">
        <v>1</v>
      </c>
      <c r="U907" s="1">
        <f t="shared" si="295"/>
        <v>1409</v>
      </c>
      <c r="V907" s="7">
        <f t="shared" si="296"/>
        <v>2.1291696238466997</v>
      </c>
      <c r="W907" s="7">
        <f t="shared" si="297"/>
        <v>777.14691270404535</v>
      </c>
      <c r="X907" s="7">
        <f t="shared" si="298"/>
        <v>0.97143364088005668</v>
      </c>
      <c r="AA907" s="8">
        <f t="shared" si="299"/>
        <v>44927</v>
      </c>
      <c r="AB907" s="8">
        <f t="shared" si="300"/>
        <v>45291</v>
      </c>
      <c r="AC907" s="1">
        <v>18</v>
      </c>
      <c r="AD907" s="1">
        <f t="shared" si="301"/>
        <v>0</v>
      </c>
      <c r="AE907" s="1">
        <f t="shared" si="302"/>
        <v>0</v>
      </c>
      <c r="AF907" s="1">
        <f t="shared" si="303"/>
        <v>363</v>
      </c>
      <c r="AG907" s="1">
        <f t="shared" si="304"/>
        <v>0</v>
      </c>
      <c r="AH907" s="1">
        <f t="shared" si="305"/>
        <v>0</v>
      </c>
      <c r="AI907" s="5">
        <f t="shared" si="306"/>
        <v>0.9945205479452055</v>
      </c>
      <c r="AJ907" s="5">
        <f t="shared" si="307"/>
        <v>0.96611071682043992</v>
      </c>
      <c r="AK907" s="5">
        <f t="shared" si="308"/>
        <v>17.389992902767919</v>
      </c>
      <c r="AL907" s="5">
        <f t="shared" si="309"/>
        <v>17.389992902767919</v>
      </c>
      <c r="AM907" s="5">
        <f t="shared" si="310"/>
        <v>0</v>
      </c>
      <c r="AN907" s="5">
        <f t="shared" si="311"/>
        <v>17.389992902767919</v>
      </c>
      <c r="AO907" s="1" t="s">
        <v>102</v>
      </c>
    </row>
    <row r="908" spans="1:41" x14ac:dyDescent="0.25">
      <c r="A908" s="1" t="s">
        <v>19</v>
      </c>
      <c r="B908" s="1" t="s">
        <v>44</v>
      </c>
      <c r="C908" s="1" t="s">
        <v>21</v>
      </c>
      <c r="D908" s="1" t="s">
        <v>45</v>
      </c>
      <c r="E908" s="1" t="s">
        <v>96</v>
      </c>
      <c r="F908" s="1" t="s">
        <v>103</v>
      </c>
      <c r="G908" s="1" t="s">
        <v>320</v>
      </c>
      <c r="H908" s="1" t="s">
        <v>456</v>
      </c>
      <c r="I908" s="1" t="s">
        <v>174</v>
      </c>
      <c r="J908" s="1" t="s">
        <v>101</v>
      </c>
      <c r="L908" s="1">
        <v>2693825</v>
      </c>
      <c r="M908" s="1" t="s">
        <v>1063</v>
      </c>
      <c r="N908" s="8">
        <f>DATE(2020,2,20)</f>
        <v>43881</v>
      </c>
      <c r="O908" s="8">
        <f>DATE(2023,12,29)</f>
        <v>45289</v>
      </c>
      <c r="P908" s="1">
        <v>2997</v>
      </c>
      <c r="Q908" s="1">
        <v>3200</v>
      </c>
      <c r="R908" s="1">
        <f t="shared" si="294"/>
        <v>3200</v>
      </c>
      <c r="S908" s="1">
        <v>2.5</v>
      </c>
      <c r="U908" s="1">
        <f t="shared" si="295"/>
        <v>1409</v>
      </c>
      <c r="V908" s="7">
        <f t="shared" si="296"/>
        <v>2.1270404542228531</v>
      </c>
      <c r="W908" s="7">
        <f t="shared" si="297"/>
        <v>776.36976579134137</v>
      </c>
      <c r="X908" s="7">
        <f t="shared" si="298"/>
        <v>0.97046220723917676</v>
      </c>
      <c r="AA908" s="8">
        <f t="shared" si="299"/>
        <v>44927</v>
      </c>
      <c r="AB908" s="8">
        <f t="shared" si="300"/>
        <v>45291</v>
      </c>
      <c r="AC908" s="1">
        <v>21</v>
      </c>
      <c r="AD908" s="1">
        <f t="shared" si="301"/>
        <v>0</v>
      </c>
      <c r="AE908" s="1">
        <f t="shared" si="302"/>
        <v>0</v>
      </c>
      <c r="AF908" s="1">
        <f t="shared" si="303"/>
        <v>363</v>
      </c>
      <c r="AG908" s="1">
        <f t="shared" si="304"/>
        <v>0</v>
      </c>
      <c r="AH908" s="1">
        <f t="shared" si="305"/>
        <v>0</v>
      </c>
      <c r="AI908" s="5">
        <f t="shared" si="306"/>
        <v>0.9945205479452055</v>
      </c>
      <c r="AJ908" s="5">
        <f t="shared" si="307"/>
        <v>0.96514460610361963</v>
      </c>
      <c r="AK908" s="5">
        <f t="shared" si="308"/>
        <v>20.268036728176011</v>
      </c>
      <c r="AL908" s="5">
        <f t="shared" si="309"/>
        <v>50.670091820440028</v>
      </c>
      <c r="AM908" s="5">
        <f t="shared" si="310"/>
        <v>0</v>
      </c>
      <c r="AN908" s="5">
        <f t="shared" si="311"/>
        <v>50.670091820440028</v>
      </c>
      <c r="AO908" s="1" t="s">
        <v>102</v>
      </c>
    </row>
    <row r="909" spans="1:41" x14ac:dyDescent="0.25">
      <c r="A909" s="1" t="s">
        <v>19</v>
      </c>
      <c r="B909" s="1" t="s">
        <v>44</v>
      </c>
      <c r="C909" s="1" t="s">
        <v>21</v>
      </c>
      <c r="D909" s="1" t="s">
        <v>45</v>
      </c>
      <c r="E909" s="1" t="s">
        <v>96</v>
      </c>
      <c r="F909" s="1" t="s">
        <v>103</v>
      </c>
      <c r="G909" s="1" t="s">
        <v>320</v>
      </c>
      <c r="H909" s="1" t="s">
        <v>353</v>
      </c>
      <c r="I909" s="1" t="s">
        <v>174</v>
      </c>
      <c r="J909" s="1" t="s">
        <v>101</v>
      </c>
      <c r="L909" s="1">
        <v>2693827</v>
      </c>
      <c r="M909" s="1" t="s">
        <v>1064</v>
      </c>
      <c r="N909" s="8">
        <f>DATE(2020,2,20)</f>
        <v>43881</v>
      </c>
      <c r="O909" s="8">
        <f>DATE(2023,12,29)</f>
        <v>45289</v>
      </c>
      <c r="P909" s="1">
        <v>3054</v>
      </c>
      <c r="Q909" s="1">
        <v>3200</v>
      </c>
      <c r="R909" s="1">
        <f t="shared" si="294"/>
        <v>3200</v>
      </c>
      <c r="S909" s="1">
        <v>2.5</v>
      </c>
      <c r="U909" s="1">
        <f t="shared" si="295"/>
        <v>1409</v>
      </c>
      <c r="V909" s="7">
        <f t="shared" si="296"/>
        <v>2.1674946770759402</v>
      </c>
      <c r="W909" s="7">
        <f t="shared" si="297"/>
        <v>791.13555713271819</v>
      </c>
      <c r="X909" s="7">
        <f t="shared" si="298"/>
        <v>0.98891944641589768</v>
      </c>
      <c r="AA909" s="8">
        <f t="shared" si="299"/>
        <v>44927</v>
      </c>
      <c r="AB909" s="8">
        <f t="shared" si="300"/>
        <v>45291</v>
      </c>
      <c r="AC909" s="1">
        <v>2</v>
      </c>
      <c r="AD909" s="1">
        <f t="shared" si="301"/>
        <v>0</v>
      </c>
      <c r="AE909" s="1">
        <f t="shared" si="302"/>
        <v>0</v>
      </c>
      <c r="AF909" s="1">
        <f t="shared" si="303"/>
        <v>363</v>
      </c>
      <c r="AG909" s="1">
        <f t="shared" si="304"/>
        <v>0</v>
      </c>
      <c r="AH909" s="1">
        <f t="shared" si="305"/>
        <v>0</v>
      </c>
      <c r="AI909" s="5">
        <f t="shared" si="306"/>
        <v>0.9945205479452055</v>
      </c>
      <c r="AJ909" s="5">
        <f t="shared" si="307"/>
        <v>0.98350070972320791</v>
      </c>
      <c r="AK909" s="5">
        <f t="shared" si="308"/>
        <v>1.9670014194464158</v>
      </c>
      <c r="AL909" s="5">
        <f t="shared" si="309"/>
        <v>4.9175035486160397</v>
      </c>
      <c r="AM909" s="5">
        <f t="shared" si="310"/>
        <v>0</v>
      </c>
      <c r="AN909" s="5">
        <f t="shared" si="311"/>
        <v>4.9175035486160397</v>
      </c>
      <c r="AO909" s="1" t="s">
        <v>102</v>
      </c>
    </row>
    <row r="910" spans="1:41" x14ac:dyDescent="0.25">
      <c r="A910" s="1" t="s">
        <v>19</v>
      </c>
      <c r="B910" s="1" t="s">
        <v>44</v>
      </c>
      <c r="C910" s="1" t="s">
        <v>21</v>
      </c>
      <c r="D910" s="1" t="s">
        <v>45</v>
      </c>
      <c r="E910" s="1" t="s">
        <v>96</v>
      </c>
      <c r="F910" s="1" t="s">
        <v>103</v>
      </c>
      <c r="G910" s="1" t="s">
        <v>114</v>
      </c>
      <c r="H910" s="1" t="s">
        <v>119</v>
      </c>
      <c r="I910" s="1" t="s">
        <v>105</v>
      </c>
      <c r="J910" s="1" t="s">
        <v>106</v>
      </c>
      <c r="K910" s="1" t="s">
        <v>116</v>
      </c>
      <c r="L910" s="1">
        <v>2750069</v>
      </c>
      <c r="M910" s="1" t="s">
        <v>1065</v>
      </c>
      <c r="N910" s="8">
        <f t="shared" ref="N910:N915" si="312">DATE(2021,3,15)</f>
        <v>44270</v>
      </c>
      <c r="O910" s="8">
        <f>DATE(2023,12,22)</f>
        <v>45282</v>
      </c>
      <c r="P910" s="1">
        <v>4048</v>
      </c>
      <c r="Q910" s="1">
        <v>1200</v>
      </c>
      <c r="R910" s="1">
        <f t="shared" si="294"/>
        <v>3200</v>
      </c>
      <c r="S910" s="1">
        <v>2.5</v>
      </c>
      <c r="U910" s="1">
        <f t="shared" si="295"/>
        <v>1013</v>
      </c>
      <c r="V910" s="7">
        <f t="shared" si="296"/>
        <v>3.15893385982231</v>
      </c>
      <c r="W910" s="7">
        <f t="shared" si="297"/>
        <v>1153.0108588351432</v>
      </c>
      <c r="X910" s="7">
        <f t="shared" si="298"/>
        <v>1.441263573543929</v>
      </c>
      <c r="AA910" s="8">
        <f t="shared" si="299"/>
        <v>44927</v>
      </c>
      <c r="AB910" s="8">
        <f t="shared" si="300"/>
        <v>45291</v>
      </c>
      <c r="AC910" s="1">
        <v>50</v>
      </c>
      <c r="AD910" s="1">
        <f t="shared" si="301"/>
        <v>0</v>
      </c>
      <c r="AE910" s="1">
        <f t="shared" si="302"/>
        <v>0</v>
      </c>
      <c r="AF910" s="1">
        <f t="shared" si="303"/>
        <v>356</v>
      </c>
      <c r="AG910" s="1">
        <f t="shared" si="304"/>
        <v>0</v>
      </c>
      <c r="AH910" s="1">
        <f t="shared" si="305"/>
        <v>0</v>
      </c>
      <c r="AI910" s="5">
        <f t="shared" si="306"/>
        <v>0.97534246575342465</v>
      </c>
      <c r="AJ910" s="5">
        <f t="shared" si="307"/>
        <v>1.4057255676209279</v>
      </c>
      <c r="AK910" s="5">
        <f t="shared" si="308"/>
        <v>70.286278381046401</v>
      </c>
      <c r="AL910" s="5">
        <f t="shared" si="309"/>
        <v>175.71569595261599</v>
      </c>
      <c r="AM910" s="5">
        <f t="shared" si="310"/>
        <v>87.857847976307994</v>
      </c>
      <c r="AN910" s="5">
        <f t="shared" si="311"/>
        <v>263.57354392892398</v>
      </c>
      <c r="AO910" s="1" t="s">
        <v>102</v>
      </c>
    </row>
    <row r="911" spans="1:41" x14ac:dyDescent="0.25">
      <c r="A911" s="1" t="s">
        <v>19</v>
      </c>
      <c r="B911" s="1" t="s">
        <v>44</v>
      </c>
      <c r="C911" s="1" t="s">
        <v>21</v>
      </c>
      <c r="D911" s="1" t="s">
        <v>45</v>
      </c>
      <c r="E911" s="1" t="s">
        <v>96</v>
      </c>
      <c r="F911" s="1" t="s">
        <v>103</v>
      </c>
      <c r="G911" s="1" t="s">
        <v>114</v>
      </c>
      <c r="H911" s="1" t="s">
        <v>214</v>
      </c>
      <c r="I911" s="1" t="s">
        <v>100</v>
      </c>
      <c r="J911" s="1" t="s">
        <v>101</v>
      </c>
      <c r="K911" s="1" t="s">
        <v>116</v>
      </c>
      <c r="L911" s="1">
        <v>2750079</v>
      </c>
      <c r="M911" s="1" t="s">
        <v>1066</v>
      </c>
      <c r="N911" s="8">
        <f t="shared" si="312"/>
        <v>44270</v>
      </c>
      <c r="O911" s="8">
        <f>DATE(2023,12,22)</f>
        <v>45282</v>
      </c>
      <c r="P911" s="1">
        <v>3560</v>
      </c>
      <c r="Q911" s="1">
        <v>800</v>
      </c>
      <c r="R911" s="1">
        <f t="shared" si="294"/>
        <v>3000</v>
      </c>
      <c r="S911" s="1">
        <v>1.5</v>
      </c>
      <c r="U911" s="1">
        <f t="shared" si="295"/>
        <v>1013</v>
      </c>
      <c r="V911" s="7">
        <f t="shared" si="296"/>
        <v>2.9615004935834155</v>
      </c>
      <c r="W911" s="7">
        <f t="shared" si="297"/>
        <v>1080.9476801579467</v>
      </c>
      <c r="X911" s="7">
        <f t="shared" si="298"/>
        <v>1.3511846001974335</v>
      </c>
      <c r="AA911" s="8">
        <f t="shared" si="299"/>
        <v>44927</v>
      </c>
      <c r="AB911" s="8">
        <f t="shared" si="300"/>
        <v>45291</v>
      </c>
      <c r="AC911" s="1">
        <v>22</v>
      </c>
      <c r="AD911" s="1">
        <f t="shared" si="301"/>
        <v>0</v>
      </c>
      <c r="AE911" s="1">
        <f t="shared" si="302"/>
        <v>0</v>
      </c>
      <c r="AF911" s="1">
        <f t="shared" si="303"/>
        <v>356</v>
      </c>
      <c r="AG911" s="1">
        <f t="shared" si="304"/>
        <v>0</v>
      </c>
      <c r="AH911" s="1">
        <f t="shared" si="305"/>
        <v>0</v>
      </c>
      <c r="AI911" s="5">
        <f t="shared" si="306"/>
        <v>0.97534246575342465</v>
      </c>
      <c r="AJ911" s="5">
        <f t="shared" si="307"/>
        <v>1.31786771964462</v>
      </c>
      <c r="AK911" s="5">
        <f t="shared" si="308"/>
        <v>28.993089832181639</v>
      </c>
      <c r="AL911" s="5">
        <f t="shared" si="309"/>
        <v>43.489634748272458</v>
      </c>
      <c r="AM911" s="5">
        <f t="shared" si="310"/>
        <v>0</v>
      </c>
      <c r="AN911" s="5">
        <f t="shared" si="311"/>
        <v>43.489634748272458</v>
      </c>
      <c r="AO911" s="1" t="s">
        <v>102</v>
      </c>
    </row>
    <row r="912" spans="1:41" x14ac:dyDescent="0.25">
      <c r="A912" s="1" t="s">
        <v>19</v>
      </c>
      <c r="B912" s="1" t="s">
        <v>44</v>
      </c>
      <c r="C912" s="1" t="s">
        <v>21</v>
      </c>
      <c r="D912" s="1" t="s">
        <v>45</v>
      </c>
      <c r="E912" s="1" t="s">
        <v>96</v>
      </c>
      <c r="F912" s="1" t="s">
        <v>103</v>
      </c>
      <c r="G912" s="1" t="s">
        <v>114</v>
      </c>
      <c r="H912" s="1" t="s">
        <v>894</v>
      </c>
      <c r="I912" s="1" t="s">
        <v>157</v>
      </c>
      <c r="J912" s="1" t="s">
        <v>101</v>
      </c>
      <c r="K912" s="1" t="s">
        <v>116</v>
      </c>
      <c r="L912" s="1">
        <v>2750083</v>
      </c>
      <c r="M912" s="1" t="s">
        <v>1067</v>
      </c>
      <c r="N912" s="8">
        <f t="shared" si="312"/>
        <v>44270</v>
      </c>
      <c r="O912" s="8">
        <f>DATE(2023,12,22)</f>
        <v>45282</v>
      </c>
      <c r="P912" s="1">
        <v>3980</v>
      </c>
      <c r="Q912" s="1">
        <v>1200</v>
      </c>
      <c r="R912" s="1">
        <f t="shared" si="294"/>
        <v>3200</v>
      </c>
      <c r="S912" s="1">
        <v>1.5</v>
      </c>
      <c r="U912" s="1">
        <f t="shared" si="295"/>
        <v>1013</v>
      </c>
      <c r="V912" s="7">
        <f t="shared" si="296"/>
        <v>3.15893385982231</v>
      </c>
      <c r="W912" s="7">
        <f t="shared" si="297"/>
        <v>1153.0108588351432</v>
      </c>
      <c r="X912" s="7">
        <f t="shared" si="298"/>
        <v>1.441263573543929</v>
      </c>
      <c r="AA912" s="8">
        <f t="shared" si="299"/>
        <v>44927</v>
      </c>
      <c r="AB912" s="8">
        <f t="shared" si="300"/>
        <v>45291</v>
      </c>
      <c r="AC912" s="1">
        <v>24</v>
      </c>
      <c r="AD912" s="1">
        <f t="shared" si="301"/>
        <v>0</v>
      </c>
      <c r="AE912" s="1">
        <f t="shared" si="302"/>
        <v>0</v>
      </c>
      <c r="AF912" s="1">
        <f t="shared" si="303"/>
        <v>356</v>
      </c>
      <c r="AG912" s="1">
        <f t="shared" si="304"/>
        <v>0</v>
      </c>
      <c r="AH912" s="1">
        <f t="shared" si="305"/>
        <v>0</v>
      </c>
      <c r="AI912" s="5">
        <f t="shared" si="306"/>
        <v>0.97534246575342465</v>
      </c>
      <c r="AJ912" s="5">
        <f t="shared" si="307"/>
        <v>1.4057255676209279</v>
      </c>
      <c r="AK912" s="5">
        <f t="shared" si="308"/>
        <v>33.737413622902267</v>
      </c>
      <c r="AL912" s="5">
        <f t="shared" si="309"/>
        <v>50.6061204343534</v>
      </c>
      <c r="AM912" s="5">
        <f t="shared" si="310"/>
        <v>0</v>
      </c>
      <c r="AN912" s="5">
        <f t="shared" si="311"/>
        <v>50.6061204343534</v>
      </c>
      <c r="AO912" s="1" t="s">
        <v>102</v>
      </c>
    </row>
    <row r="913" spans="1:41" x14ac:dyDescent="0.25">
      <c r="A913" s="1" t="s">
        <v>19</v>
      </c>
      <c r="B913" s="1" t="s">
        <v>44</v>
      </c>
      <c r="C913" s="1" t="s">
        <v>21</v>
      </c>
      <c r="D913" s="1" t="s">
        <v>45</v>
      </c>
      <c r="E913" s="1" t="s">
        <v>96</v>
      </c>
      <c r="F913" s="1" t="s">
        <v>103</v>
      </c>
      <c r="G913" s="1" t="s">
        <v>320</v>
      </c>
      <c r="H913" s="1" t="s">
        <v>456</v>
      </c>
      <c r="I913" s="1" t="s">
        <v>174</v>
      </c>
      <c r="J913" s="1" t="s">
        <v>101</v>
      </c>
      <c r="L913" s="1">
        <v>2752793</v>
      </c>
      <c r="M913" s="1" t="s">
        <v>1068</v>
      </c>
      <c r="N913" s="8">
        <f t="shared" si="312"/>
        <v>44270</v>
      </c>
      <c r="O913" s="8">
        <f>DATE(2024,12,23)</f>
        <v>45649</v>
      </c>
      <c r="P913" s="1">
        <v>2997</v>
      </c>
      <c r="Q913" s="1">
        <v>3200</v>
      </c>
      <c r="R913" s="1">
        <f t="shared" si="294"/>
        <v>3200</v>
      </c>
      <c r="S913" s="1">
        <v>2.5</v>
      </c>
      <c r="U913" s="1">
        <f t="shared" si="295"/>
        <v>1380</v>
      </c>
      <c r="V913" s="7">
        <f t="shared" si="296"/>
        <v>2.1717391304347826</v>
      </c>
      <c r="W913" s="7">
        <f t="shared" si="297"/>
        <v>792.68478260869563</v>
      </c>
      <c r="X913" s="7">
        <f t="shared" si="298"/>
        <v>0.99085597826086957</v>
      </c>
      <c r="AA913" s="8">
        <f t="shared" si="299"/>
        <v>44927</v>
      </c>
      <c r="AB913" s="8">
        <f t="shared" si="300"/>
        <v>45291</v>
      </c>
      <c r="AC913" s="1">
        <v>20</v>
      </c>
      <c r="AD913" s="1">
        <f t="shared" si="301"/>
        <v>365</v>
      </c>
      <c r="AE913" s="1">
        <f t="shared" si="302"/>
        <v>0</v>
      </c>
      <c r="AF913" s="1">
        <f t="shared" si="303"/>
        <v>0</v>
      </c>
      <c r="AG913" s="1">
        <f t="shared" si="304"/>
        <v>0</v>
      </c>
      <c r="AH913" s="1">
        <f t="shared" si="305"/>
        <v>0</v>
      </c>
      <c r="AI913" s="5">
        <f t="shared" si="306"/>
        <v>1</v>
      </c>
      <c r="AJ913" s="5">
        <f t="shared" si="307"/>
        <v>0.99085597826086957</v>
      </c>
      <c r="AK913" s="5">
        <f t="shared" si="308"/>
        <v>19.817119565217393</v>
      </c>
      <c r="AL913" s="5">
        <f t="shared" si="309"/>
        <v>49.542798913043484</v>
      </c>
      <c r="AM913" s="5">
        <f t="shared" si="310"/>
        <v>0</v>
      </c>
      <c r="AN913" s="5">
        <f t="shared" si="311"/>
        <v>49.542798913043484</v>
      </c>
      <c r="AO913" s="1" t="s">
        <v>102</v>
      </c>
    </row>
    <row r="914" spans="1:41" x14ac:dyDescent="0.25">
      <c r="A914" s="1" t="s">
        <v>19</v>
      </c>
      <c r="B914" s="1" t="s">
        <v>44</v>
      </c>
      <c r="C914" s="1" t="s">
        <v>21</v>
      </c>
      <c r="D914" s="1" t="s">
        <v>45</v>
      </c>
      <c r="E914" s="1" t="s">
        <v>96</v>
      </c>
      <c r="F914" s="1" t="s">
        <v>103</v>
      </c>
      <c r="G914" s="1" t="s">
        <v>320</v>
      </c>
      <c r="H914" s="1" t="s">
        <v>353</v>
      </c>
      <c r="I914" s="1" t="s">
        <v>174</v>
      </c>
      <c r="J914" s="1" t="s">
        <v>101</v>
      </c>
      <c r="L914" s="1">
        <v>2752796</v>
      </c>
      <c r="M914" s="1" t="s">
        <v>1069</v>
      </c>
      <c r="N914" s="8">
        <f t="shared" si="312"/>
        <v>44270</v>
      </c>
      <c r="O914" s="8">
        <f>DATE(2024,12,23)</f>
        <v>45649</v>
      </c>
      <c r="P914" s="1">
        <v>3054</v>
      </c>
      <c r="Q914" s="1">
        <v>3200</v>
      </c>
      <c r="R914" s="1">
        <f t="shared" si="294"/>
        <v>3200</v>
      </c>
      <c r="S914" s="1">
        <v>2.5</v>
      </c>
      <c r="U914" s="1">
        <f t="shared" si="295"/>
        <v>1380</v>
      </c>
      <c r="V914" s="7">
        <f t="shared" si="296"/>
        <v>2.2130434782608694</v>
      </c>
      <c r="W914" s="7">
        <f t="shared" si="297"/>
        <v>807.76086956521738</v>
      </c>
      <c r="X914" s="7">
        <f t="shared" si="298"/>
        <v>1.0097010869565217</v>
      </c>
      <c r="AA914" s="8">
        <f t="shared" si="299"/>
        <v>44927</v>
      </c>
      <c r="AB914" s="8">
        <f t="shared" si="300"/>
        <v>45291</v>
      </c>
      <c r="AC914" s="1">
        <v>5</v>
      </c>
      <c r="AD914" s="1">
        <f t="shared" si="301"/>
        <v>365</v>
      </c>
      <c r="AE914" s="1">
        <f t="shared" si="302"/>
        <v>0</v>
      </c>
      <c r="AF914" s="1">
        <f t="shared" si="303"/>
        <v>0</v>
      </c>
      <c r="AG914" s="1">
        <f t="shared" si="304"/>
        <v>0</v>
      </c>
      <c r="AH914" s="1">
        <f t="shared" si="305"/>
        <v>0</v>
      </c>
      <c r="AI914" s="5">
        <f t="shared" si="306"/>
        <v>1</v>
      </c>
      <c r="AJ914" s="5">
        <f t="shared" si="307"/>
        <v>1.0097010869565217</v>
      </c>
      <c r="AK914" s="5">
        <f t="shared" si="308"/>
        <v>5.0485054347826086</v>
      </c>
      <c r="AL914" s="5">
        <f t="shared" si="309"/>
        <v>12.621263586956522</v>
      </c>
      <c r="AM914" s="5">
        <f t="shared" si="310"/>
        <v>0</v>
      </c>
      <c r="AN914" s="5">
        <f t="shared" si="311"/>
        <v>12.621263586956522</v>
      </c>
      <c r="AO914" s="1" t="s">
        <v>102</v>
      </c>
    </row>
    <row r="915" spans="1:41" x14ac:dyDescent="0.25">
      <c r="A915" s="1" t="s">
        <v>19</v>
      </c>
      <c r="B915" s="1" t="s">
        <v>44</v>
      </c>
      <c r="C915" s="1" t="s">
        <v>21</v>
      </c>
      <c r="D915" s="1" t="s">
        <v>45</v>
      </c>
      <c r="E915" s="1" t="s">
        <v>96</v>
      </c>
      <c r="F915" s="1" t="s">
        <v>103</v>
      </c>
      <c r="G915" s="1" t="s">
        <v>98</v>
      </c>
      <c r="H915" s="1" t="s">
        <v>99</v>
      </c>
      <c r="I915" s="1" t="s">
        <v>100</v>
      </c>
      <c r="J915" s="1" t="s">
        <v>101</v>
      </c>
      <c r="L915" s="1">
        <v>2752803</v>
      </c>
      <c r="M915" s="1" t="s">
        <v>1070</v>
      </c>
      <c r="N915" s="8">
        <f t="shared" si="312"/>
        <v>44270</v>
      </c>
      <c r="O915" s="8">
        <f>DATE(2024,12,23)</f>
        <v>45649</v>
      </c>
      <c r="P915" s="1">
        <v>3208</v>
      </c>
      <c r="Q915" s="1">
        <v>3000</v>
      </c>
      <c r="R915" s="1">
        <f t="shared" si="294"/>
        <v>3000</v>
      </c>
      <c r="S915" s="1">
        <v>1</v>
      </c>
      <c r="U915" s="1">
        <f t="shared" si="295"/>
        <v>1380</v>
      </c>
      <c r="V915" s="7">
        <f t="shared" si="296"/>
        <v>2.1739130434782608</v>
      </c>
      <c r="W915" s="7">
        <f t="shared" si="297"/>
        <v>793.47826086956513</v>
      </c>
      <c r="X915" s="7">
        <f t="shared" si="298"/>
        <v>0.99184782608695643</v>
      </c>
      <c r="AA915" s="8">
        <f t="shared" si="299"/>
        <v>44927</v>
      </c>
      <c r="AB915" s="8">
        <f t="shared" si="300"/>
        <v>45291</v>
      </c>
      <c r="AC915" s="1">
        <v>26</v>
      </c>
      <c r="AD915" s="1">
        <f t="shared" si="301"/>
        <v>365</v>
      </c>
      <c r="AE915" s="1">
        <f t="shared" si="302"/>
        <v>0</v>
      </c>
      <c r="AF915" s="1">
        <f t="shared" si="303"/>
        <v>0</v>
      </c>
      <c r="AG915" s="1">
        <f t="shared" si="304"/>
        <v>0</v>
      </c>
      <c r="AH915" s="1">
        <f t="shared" si="305"/>
        <v>0</v>
      </c>
      <c r="AI915" s="5">
        <f t="shared" si="306"/>
        <v>1</v>
      </c>
      <c r="AJ915" s="5">
        <f t="shared" si="307"/>
        <v>0.99184782608695643</v>
      </c>
      <c r="AK915" s="5">
        <f t="shared" si="308"/>
        <v>25.788043478260867</v>
      </c>
      <c r="AL915" s="5">
        <f t="shared" si="309"/>
        <v>25.788043478260867</v>
      </c>
      <c r="AM915" s="5">
        <f t="shared" si="310"/>
        <v>0</v>
      </c>
      <c r="AN915" s="5">
        <f t="shared" si="311"/>
        <v>25.788043478260867</v>
      </c>
      <c r="AO915" s="1" t="s">
        <v>102</v>
      </c>
    </row>
    <row r="916" spans="1:41" x14ac:dyDescent="0.25">
      <c r="A916" s="1" t="s">
        <v>19</v>
      </c>
      <c r="B916" s="1" t="s">
        <v>44</v>
      </c>
      <c r="C916" s="1" t="s">
        <v>21</v>
      </c>
      <c r="D916" s="1" t="s">
        <v>45</v>
      </c>
      <c r="E916" s="1" t="s">
        <v>96</v>
      </c>
      <c r="F916" s="1" t="s">
        <v>103</v>
      </c>
      <c r="G916" s="1" t="s">
        <v>114</v>
      </c>
      <c r="H916" s="1" t="s">
        <v>119</v>
      </c>
      <c r="I916" s="1" t="s">
        <v>105</v>
      </c>
      <c r="J916" s="1" t="s">
        <v>106</v>
      </c>
      <c r="K916" s="1" t="s">
        <v>116</v>
      </c>
      <c r="L916" s="1">
        <v>2834102</v>
      </c>
      <c r="M916" s="1" t="s">
        <v>1034</v>
      </c>
      <c r="N916" s="8">
        <f t="shared" ref="N916:N921" si="313">DATE(2022,2,7)</f>
        <v>44599</v>
      </c>
      <c r="O916" s="8">
        <f>DATE(2024,12,31)</f>
        <v>45657</v>
      </c>
      <c r="P916" s="1">
        <v>4048</v>
      </c>
      <c r="Q916" s="1">
        <v>1200</v>
      </c>
      <c r="R916" s="1">
        <f t="shared" si="294"/>
        <v>3200</v>
      </c>
      <c r="S916" s="1">
        <v>2.5</v>
      </c>
      <c r="U916" s="1">
        <f t="shared" si="295"/>
        <v>1059</v>
      </c>
      <c r="V916" s="7">
        <f t="shared" si="296"/>
        <v>3.0217186024551466</v>
      </c>
      <c r="W916" s="7">
        <f t="shared" si="297"/>
        <v>1102.9272898961285</v>
      </c>
      <c r="X916" s="7">
        <f t="shared" si="298"/>
        <v>1.3786591123701606</v>
      </c>
      <c r="AA916" s="8">
        <f t="shared" si="299"/>
        <v>44927</v>
      </c>
      <c r="AB916" s="8">
        <f t="shared" si="300"/>
        <v>45291</v>
      </c>
      <c r="AC916" s="1">
        <v>74</v>
      </c>
      <c r="AD916" s="1">
        <f t="shared" si="301"/>
        <v>365</v>
      </c>
      <c r="AE916" s="1">
        <f t="shared" si="302"/>
        <v>0</v>
      </c>
      <c r="AF916" s="1">
        <f t="shared" si="303"/>
        <v>0</v>
      </c>
      <c r="AG916" s="1">
        <f t="shared" si="304"/>
        <v>0</v>
      </c>
      <c r="AH916" s="1">
        <f t="shared" si="305"/>
        <v>0</v>
      </c>
      <c r="AI916" s="5">
        <f t="shared" si="306"/>
        <v>1</v>
      </c>
      <c r="AJ916" s="5">
        <f t="shared" si="307"/>
        <v>1.3786591123701606</v>
      </c>
      <c r="AK916" s="5">
        <f t="shared" si="308"/>
        <v>102.02077431539189</v>
      </c>
      <c r="AL916" s="5">
        <f t="shared" si="309"/>
        <v>255.05193578847974</v>
      </c>
      <c r="AM916" s="5">
        <f t="shared" si="310"/>
        <v>127.52596789423987</v>
      </c>
      <c r="AN916" s="5">
        <f t="shared" si="311"/>
        <v>382.57790368271958</v>
      </c>
      <c r="AO916" s="1" t="s">
        <v>102</v>
      </c>
    </row>
    <row r="917" spans="1:41" x14ac:dyDescent="0.25">
      <c r="A917" s="1" t="s">
        <v>19</v>
      </c>
      <c r="B917" s="1" t="s">
        <v>44</v>
      </c>
      <c r="C917" s="1" t="s">
        <v>21</v>
      </c>
      <c r="D917" s="1" t="s">
        <v>45</v>
      </c>
      <c r="E917" s="1" t="s">
        <v>96</v>
      </c>
      <c r="F917" s="1" t="s">
        <v>103</v>
      </c>
      <c r="G917" s="1" t="s">
        <v>114</v>
      </c>
      <c r="H917" s="1" t="s">
        <v>214</v>
      </c>
      <c r="I917" s="1" t="s">
        <v>100</v>
      </c>
      <c r="J917" s="1" t="s">
        <v>101</v>
      </c>
      <c r="K917" s="1" t="s">
        <v>116</v>
      </c>
      <c r="L917" s="1">
        <v>2834106</v>
      </c>
      <c r="M917" s="1" t="s">
        <v>1071</v>
      </c>
      <c r="N917" s="8">
        <f t="shared" si="313"/>
        <v>44599</v>
      </c>
      <c r="O917" s="8">
        <f>DATE(2024,12,31)</f>
        <v>45657</v>
      </c>
      <c r="P917" s="1">
        <v>3560</v>
      </c>
      <c r="Q917" s="1">
        <v>800</v>
      </c>
      <c r="R917" s="1">
        <f t="shared" si="294"/>
        <v>3000</v>
      </c>
      <c r="S917" s="1">
        <v>1.5</v>
      </c>
      <c r="U917" s="1">
        <f t="shared" si="295"/>
        <v>1059</v>
      </c>
      <c r="V917" s="7">
        <f t="shared" si="296"/>
        <v>2.8328611898016995</v>
      </c>
      <c r="W917" s="7">
        <f t="shared" si="297"/>
        <v>1033.9943342776203</v>
      </c>
      <c r="X917" s="7">
        <f t="shared" si="298"/>
        <v>1.2924929178470252</v>
      </c>
      <c r="AA917" s="8">
        <f t="shared" si="299"/>
        <v>44927</v>
      </c>
      <c r="AB917" s="8">
        <f t="shared" si="300"/>
        <v>45291</v>
      </c>
      <c r="AC917" s="1">
        <v>12</v>
      </c>
      <c r="AD917" s="1">
        <f t="shared" si="301"/>
        <v>365</v>
      </c>
      <c r="AE917" s="1">
        <f t="shared" si="302"/>
        <v>0</v>
      </c>
      <c r="AF917" s="1">
        <f t="shared" si="303"/>
        <v>0</v>
      </c>
      <c r="AG917" s="1">
        <f t="shared" si="304"/>
        <v>0</v>
      </c>
      <c r="AH917" s="1">
        <f t="shared" si="305"/>
        <v>0</v>
      </c>
      <c r="AI917" s="5">
        <f t="shared" si="306"/>
        <v>1</v>
      </c>
      <c r="AJ917" s="5">
        <f t="shared" si="307"/>
        <v>1.2924929178470252</v>
      </c>
      <c r="AK917" s="5">
        <f t="shared" si="308"/>
        <v>15.509915014164303</v>
      </c>
      <c r="AL917" s="5">
        <f t="shared" si="309"/>
        <v>23.264872521246453</v>
      </c>
      <c r="AM917" s="5">
        <f t="shared" si="310"/>
        <v>0</v>
      </c>
      <c r="AN917" s="5">
        <f t="shared" si="311"/>
        <v>23.264872521246453</v>
      </c>
      <c r="AO917" s="1" t="s">
        <v>102</v>
      </c>
    </row>
    <row r="918" spans="1:41" x14ac:dyDescent="0.25">
      <c r="A918" s="1" t="s">
        <v>19</v>
      </c>
      <c r="B918" s="1" t="s">
        <v>44</v>
      </c>
      <c r="C918" s="1" t="s">
        <v>21</v>
      </c>
      <c r="D918" s="1" t="s">
        <v>45</v>
      </c>
      <c r="E918" s="1" t="s">
        <v>96</v>
      </c>
      <c r="F918" s="1" t="s">
        <v>103</v>
      </c>
      <c r="G918" s="1" t="s">
        <v>114</v>
      </c>
      <c r="H918" s="1" t="s">
        <v>894</v>
      </c>
      <c r="I918" s="1" t="s">
        <v>157</v>
      </c>
      <c r="J918" s="1" t="s">
        <v>101</v>
      </c>
      <c r="K918" s="1" t="s">
        <v>116</v>
      </c>
      <c r="L918" s="1">
        <v>2834107</v>
      </c>
      <c r="M918" s="1" t="s">
        <v>1072</v>
      </c>
      <c r="N918" s="8">
        <f t="shared" si="313"/>
        <v>44599</v>
      </c>
      <c r="O918" s="8">
        <f>DATE(2024,12,31)</f>
        <v>45657</v>
      </c>
      <c r="P918" s="1">
        <v>3980</v>
      </c>
      <c r="Q918" s="1">
        <v>1200</v>
      </c>
      <c r="R918" s="1">
        <f t="shared" si="294"/>
        <v>3200</v>
      </c>
      <c r="S918" s="1">
        <v>1.5</v>
      </c>
      <c r="U918" s="1">
        <f t="shared" si="295"/>
        <v>1059</v>
      </c>
      <c r="V918" s="7">
        <f t="shared" si="296"/>
        <v>3.0217186024551466</v>
      </c>
      <c r="W918" s="7">
        <f t="shared" si="297"/>
        <v>1102.9272898961285</v>
      </c>
      <c r="X918" s="7">
        <f t="shared" si="298"/>
        <v>1.3786591123701606</v>
      </c>
      <c r="AA918" s="8">
        <f t="shared" si="299"/>
        <v>44927</v>
      </c>
      <c r="AB918" s="8">
        <f t="shared" si="300"/>
        <v>45291</v>
      </c>
      <c r="AC918" s="1">
        <v>27</v>
      </c>
      <c r="AD918" s="1">
        <f t="shared" si="301"/>
        <v>365</v>
      </c>
      <c r="AE918" s="1">
        <f t="shared" si="302"/>
        <v>0</v>
      </c>
      <c r="AF918" s="1">
        <f t="shared" si="303"/>
        <v>0</v>
      </c>
      <c r="AG918" s="1">
        <f t="shared" si="304"/>
        <v>0</v>
      </c>
      <c r="AH918" s="1">
        <f t="shared" si="305"/>
        <v>0</v>
      </c>
      <c r="AI918" s="5">
        <f t="shared" si="306"/>
        <v>1</v>
      </c>
      <c r="AJ918" s="5">
        <f t="shared" si="307"/>
        <v>1.3786591123701606</v>
      </c>
      <c r="AK918" s="5">
        <f t="shared" si="308"/>
        <v>37.223796033994333</v>
      </c>
      <c r="AL918" s="5">
        <f t="shared" si="309"/>
        <v>55.835694050991499</v>
      </c>
      <c r="AM918" s="5">
        <f t="shared" si="310"/>
        <v>0</v>
      </c>
      <c r="AN918" s="5">
        <f t="shared" si="311"/>
        <v>55.835694050991499</v>
      </c>
      <c r="AO918" s="1" t="s">
        <v>102</v>
      </c>
    </row>
    <row r="919" spans="1:41" x14ac:dyDescent="0.25">
      <c r="A919" s="1" t="s">
        <v>19</v>
      </c>
      <c r="B919" s="1" t="s">
        <v>44</v>
      </c>
      <c r="C919" s="1" t="s">
        <v>21</v>
      </c>
      <c r="D919" s="1" t="s">
        <v>45</v>
      </c>
      <c r="E919" s="1" t="s">
        <v>96</v>
      </c>
      <c r="F919" s="1" t="s">
        <v>103</v>
      </c>
      <c r="G919" s="1" t="s">
        <v>98</v>
      </c>
      <c r="H919" s="1" t="s">
        <v>99</v>
      </c>
      <c r="I919" s="1" t="s">
        <v>100</v>
      </c>
      <c r="J919" s="1" t="s">
        <v>101</v>
      </c>
      <c r="L919" s="1">
        <v>2837899</v>
      </c>
      <c r="M919" s="1" t="s">
        <v>1073</v>
      </c>
      <c r="N919" s="8">
        <f t="shared" si="313"/>
        <v>44599</v>
      </c>
      <c r="O919" s="8">
        <f>DATE(2025,12,31)</f>
        <v>46022</v>
      </c>
      <c r="P919" s="1">
        <v>3208</v>
      </c>
      <c r="Q919" s="1">
        <v>3000</v>
      </c>
      <c r="R919" s="1">
        <f t="shared" si="294"/>
        <v>3000</v>
      </c>
      <c r="S919" s="1">
        <v>1</v>
      </c>
      <c r="U919" s="1">
        <f t="shared" si="295"/>
        <v>1424</v>
      </c>
      <c r="V919" s="7">
        <f t="shared" si="296"/>
        <v>2.106741573033708</v>
      </c>
      <c r="W919" s="7">
        <f t="shared" si="297"/>
        <v>768.9606741573034</v>
      </c>
      <c r="X919" s="7">
        <f t="shared" si="298"/>
        <v>0.9612008426966292</v>
      </c>
      <c r="AA919" s="8">
        <f t="shared" si="299"/>
        <v>44927</v>
      </c>
      <c r="AB919" s="8">
        <f t="shared" si="300"/>
        <v>45291</v>
      </c>
      <c r="AC919" s="1">
        <v>37</v>
      </c>
      <c r="AD919" s="1">
        <f t="shared" si="301"/>
        <v>365</v>
      </c>
      <c r="AE919" s="1">
        <f t="shared" si="302"/>
        <v>0</v>
      </c>
      <c r="AF919" s="1">
        <f t="shared" si="303"/>
        <v>0</v>
      </c>
      <c r="AG919" s="1">
        <f t="shared" si="304"/>
        <v>0</v>
      </c>
      <c r="AH919" s="1">
        <f t="shared" si="305"/>
        <v>0</v>
      </c>
      <c r="AI919" s="5">
        <f t="shared" si="306"/>
        <v>1</v>
      </c>
      <c r="AJ919" s="5">
        <f t="shared" si="307"/>
        <v>0.9612008426966292</v>
      </c>
      <c r="AK919" s="5">
        <f t="shared" si="308"/>
        <v>35.564431179775283</v>
      </c>
      <c r="AL919" s="5">
        <f t="shared" si="309"/>
        <v>35.564431179775283</v>
      </c>
      <c r="AM919" s="5">
        <f t="shared" si="310"/>
        <v>0</v>
      </c>
      <c r="AN919" s="5">
        <f t="shared" si="311"/>
        <v>35.564431179775283</v>
      </c>
      <c r="AO919" s="1" t="s">
        <v>102</v>
      </c>
    </row>
    <row r="920" spans="1:41" x14ac:dyDescent="0.25">
      <c r="A920" s="1" t="s">
        <v>19</v>
      </c>
      <c r="B920" s="1" t="s">
        <v>44</v>
      </c>
      <c r="C920" s="1" t="s">
        <v>21</v>
      </c>
      <c r="D920" s="1" t="s">
        <v>45</v>
      </c>
      <c r="E920" s="1" t="s">
        <v>96</v>
      </c>
      <c r="F920" s="1" t="s">
        <v>103</v>
      </c>
      <c r="G920" s="1" t="s">
        <v>320</v>
      </c>
      <c r="H920" s="1" t="s">
        <v>456</v>
      </c>
      <c r="I920" s="1" t="s">
        <v>174</v>
      </c>
      <c r="J920" s="1" t="s">
        <v>101</v>
      </c>
      <c r="L920" s="1">
        <v>2837900</v>
      </c>
      <c r="M920" s="1" t="s">
        <v>1074</v>
      </c>
      <c r="N920" s="8">
        <f t="shared" si="313"/>
        <v>44599</v>
      </c>
      <c r="O920" s="8">
        <f>DATE(2025,12,31)</f>
        <v>46022</v>
      </c>
      <c r="P920" s="1">
        <v>2997</v>
      </c>
      <c r="Q920" s="1">
        <v>3200</v>
      </c>
      <c r="R920" s="1">
        <f t="shared" si="294"/>
        <v>3200</v>
      </c>
      <c r="S920" s="1">
        <v>2.5</v>
      </c>
      <c r="U920" s="1">
        <f t="shared" si="295"/>
        <v>1424</v>
      </c>
      <c r="V920" s="7">
        <f t="shared" si="296"/>
        <v>2.104634831460674</v>
      </c>
      <c r="W920" s="7">
        <f t="shared" si="297"/>
        <v>768.19171348314603</v>
      </c>
      <c r="X920" s="7">
        <f t="shared" si="298"/>
        <v>0.96023964185393251</v>
      </c>
      <c r="AA920" s="8">
        <f t="shared" si="299"/>
        <v>44927</v>
      </c>
      <c r="AB920" s="8">
        <f t="shared" si="300"/>
        <v>45291</v>
      </c>
      <c r="AC920" s="1">
        <v>21</v>
      </c>
      <c r="AD920" s="1">
        <f t="shared" si="301"/>
        <v>365</v>
      </c>
      <c r="AE920" s="1">
        <f t="shared" si="302"/>
        <v>0</v>
      </c>
      <c r="AF920" s="1">
        <f t="shared" si="303"/>
        <v>0</v>
      </c>
      <c r="AG920" s="1">
        <f t="shared" si="304"/>
        <v>0</v>
      </c>
      <c r="AH920" s="1">
        <f t="shared" si="305"/>
        <v>0</v>
      </c>
      <c r="AI920" s="5">
        <f t="shared" si="306"/>
        <v>1</v>
      </c>
      <c r="AJ920" s="5">
        <f t="shared" si="307"/>
        <v>0.96023964185393251</v>
      </c>
      <c r="AK920" s="5">
        <f t="shared" si="308"/>
        <v>20.165032478932584</v>
      </c>
      <c r="AL920" s="5">
        <f t="shared" si="309"/>
        <v>50.412581197331463</v>
      </c>
      <c r="AM920" s="5">
        <f t="shared" si="310"/>
        <v>0</v>
      </c>
      <c r="AN920" s="5">
        <f t="shared" si="311"/>
        <v>50.412581197331463</v>
      </c>
      <c r="AO920" s="1" t="s">
        <v>102</v>
      </c>
    </row>
    <row r="921" spans="1:41" x14ac:dyDescent="0.25">
      <c r="A921" s="1" t="s">
        <v>19</v>
      </c>
      <c r="B921" s="1" t="s">
        <v>44</v>
      </c>
      <c r="C921" s="1" t="s">
        <v>21</v>
      </c>
      <c r="D921" s="1" t="s">
        <v>45</v>
      </c>
      <c r="E921" s="1" t="s">
        <v>96</v>
      </c>
      <c r="F921" s="1" t="s">
        <v>103</v>
      </c>
      <c r="G921" s="1" t="s">
        <v>320</v>
      </c>
      <c r="H921" s="1" t="s">
        <v>353</v>
      </c>
      <c r="I921" s="1" t="s">
        <v>174</v>
      </c>
      <c r="J921" s="1" t="s">
        <v>101</v>
      </c>
      <c r="L921" s="1">
        <v>2837901</v>
      </c>
      <c r="M921" s="1" t="s">
        <v>1075</v>
      </c>
      <c r="N921" s="8">
        <f t="shared" si="313"/>
        <v>44599</v>
      </c>
      <c r="O921" s="8">
        <f>DATE(2025,12,31)</f>
        <v>46022</v>
      </c>
      <c r="P921" s="1">
        <v>3054</v>
      </c>
      <c r="Q921" s="1">
        <v>3200</v>
      </c>
      <c r="R921" s="1">
        <f t="shared" si="294"/>
        <v>3200</v>
      </c>
      <c r="S921" s="1">
        <v>2.5</v>
      </c>
      <c r="U921" s="1">
        <f t="shared" si="295"/>
        <v>1424</v>
      </c>
      <c r="V921" s="7">
        <f t="shared" si="296"/>
        <v>2.1446629213483148</v>
      </c>
      <c r="W921" s="7">
        <f t="shared" si="297"/>
        <v>782.80196629213492</v>
      </c>
      <c r="X921" s="7">
        <f t="shared" si="298"/>
        <v>0.97850245786516865</v>
      </c>
      <c r="AA921" s="8">
        <f t="shared" si="299"/>
        <v>44927</v>
      </c>
      <c r="AB921" s="8">
        <f t="shared" si="300"/>
        <v>45291</v>
      </c>
      <c r="AC921" s="1">
        <v>13</v>
      </c>
      <c r="AD921" s="1">
        <f t="shared" si="301"/>
        <v>365</v>
      </c>
      <c r="AE921" s="1">
        <f t="shared" si="302"/>
        <v>0</v>
      </c>
      <c r="AF921" s="1">
        <f t="shared" si="303"/>
        <v>0</v>
      </c>
      <c r="AG921" s="1">
        <f t="shared" si="304"/>
        <v>0</v>
      </c>
      <c r="AH921" s="1">
        <f t="shared" si="305"/>
        <v>0</v>
      </c>
      <c r="AI921" s="5">
        <f t="shared" si="306"/>
        <v>1</v>
      </c>
      <c r="AJ921" s="5">
        <f t="shared" si="307"/>
        <v>0.97850245786516865</v>
      </c>
      <c r="AK921" s="5">
        <f t="shared" si="308"/>
        <v>12.720531952247192</v>
      </c>
      <c r="AL921" s="5">
        <f t="shared" si="309"/>
        <v>31.801329880617981</v>
      </c>
      <c r="AM921" s="5">
        <f t="shared" si="310"/>
        <v>0</v>
      </c>
      <c r="AN921" s="5">
        <f t="shared" si="311"/>
        <v>31.801329880617981</v>
      </c>
      <c r="AO921" s="1" t="s">
        <v>102</v>
      </c>
    </row>
    <row r="922" spans="1:41" x14ac:dyDescent="0.25">
      <c r="A922" s="1" t="s">
        <v>19</v>
      </c>
      <c r="B922" s="1" t="s">
        <v>44</v>
      </c>
      <c r="C922" s="1" t="s">
        <v>21</v>
      </c>
      <c r="D922" s="1" t="s">
        <v>45</v>
      </c>
      <c r="E922" s="1" t="s">
        <v>96</v>
      </c>
      <c r="F922" s="1" t="s">
        <v>103</v>
      </c>
      <c r="G922" s="1" t="s">
        <v>114</v>
      </c>
      <c r="H922" s="1" t="s">
        <v>119</v>
      </c>
      <c r="I922" s="1" t="s">
        <v>105</v>
      </c>
      <c r="J922" s="1" t="s">
        <v>106</v>
      </c>
      <c r="K922" s="1" t="s">
        <v>116</v>
      </c>
      <c r="L922" s="1">
        <v>2949040</v>
      </c>
      <c r="M922" s="1" t="s">
        <v>1076</v>
      </c>
      <c r="N922" s="8">
        <f t="shared" ref="N922:N928" si="314">DATE(2023,2,6)</f>
        <v>44963</v>
      </c>
      <c r="O922" s="8">
        <f>DATE(2025,12,23)</f>
        <v>46014</v>
      </c>
      <c r="P922" s="1">
        <v>4048</v>
      </c>
      <c r="Q922" s="1">
        <v>1200</v>
      </c>
      <c r="R922" s="1">
        <f t="shared" si="294"/>
        <v>3200</v>
      </c>
      <c r="S922" s="1">
        <v>2.5</v>
      </c>
      <c r="U922" s="1">
        <f t="shared" si="295"/>
        <v>1052</v>
      </c>
      <c r="V922" s="7">
        <f t="shared" si="296"/>
        <v>3.041825095057034</v>
      </c>
      <c r="W922" s="7">
        <f t="shared" si="297"/>
        <v>1110.2661596958174</v>
      </c>
      <c r="X922" s="7">
        <f t="shared" si="298"/>
        <v>1.3878326996197716</v>
      </c>
      <c r="AA922" s="8">
        <f t="shared" si="299"/>
        <v>44927</v>
      </c>
      <c r="AB922" s="8">
        <f t="shared" si="300"/>
        <v>45291</v>
      </c>
      <c r="AC922" s="1">
        <v>88</v>
      </c>
      <c r="AD922" s="1">
        <f t="shared" si="301"/>
        <v>0</v>
      </c>
      <c r="AE922" s="1">
        <f t="shared" si="302"/>
        <v>329</v>
      </c>
      <c r="AF922" s="1">
        <f t="shared" si="303"/>
        <v>0</v>
      </c>
      <c r="AG922" s="1">
        <f t="shared" si="304"/>
        <v>0</v>
      </c>
      <c r="AH922" s="1">
        <f t="shared" si="305"/>
        <v>0</v>
      </c>
      <c r="AI922" s="5">
        <f t="shared" si="306"/>
        <v>0.90136986301369859</v>
      </c>
      <c r="AJ922" s="5">
        <f t="shared" si="307"/>
        <v>1.250950570342205</v>
      </c>
      <c r="AK922" s="5">
        <f t="shared" si="308"/>
        <v>110.08365019011404</v>
      </c>
      <c r="AL922" s="5">
        <f t="shared" si="309"/>
        <v>275.20912547528508</v>
      </c>
      <c r="AM922" s="5">
        <f t="shared" si="310"/>
        <v>137.60456273764254</v>
      </c>
      <c r="AN922" s="5">
        <f t="shared" si="311"/>
        <v>412.81368821292762</v>
      </c>
      <c r="AO922" s="1" t="s">
        <v>102</v>
      </c>
    </row>
    <row r="923" spans="1:41" x14ac:dyDescent="0.25">
      <c r="A923" s="1" t="s">
        <v>19</v>
      </c>
      <c r="B923" s="1" t="s">
        <v>44</v>
      </c>
      <c r="C923" s="1" t="s">
        <v>21</v>
      </c>
      <c r="D923" s="1" t="s">
        <v>45</v>
      </c>
      <c r="E923" s="1" t="s">
        <v>96</v>
      </c>
      <c r="F923" s="1" t="s">
        <v>103</v>
      </c>
      <c r="G923" s="1" t="s">
        <v>114</v>
      </c>
      <c r="H923" s="1" t="s">
        <v>214</v>
      </c>
      <c r="I923" s="1" t="s">
        <v>100</v>
      </c>
      <c r="J923" s="1" t="s">
        <v>101</v>
      </c>
      <c r="K923" s="1" t="s">
        <v>116</v>
      </c>
      <c r="L923" s="1">
        <v>2949044</v>
      </c>
      <c r="M923" s="1" t="s">
        <v>1077</v>
      </c>
      <c r="N923" s="8">
        <f t="shared" si="314"/>
        <v>44963</v>
      </c>
      <c r="O923" s="8">
        <f>DATE(2025,12,23)</f>
        <v>46014</v>
      </c>
      <c r="P923" s="1">
        <v>3560</v>
      </c>
      <c r="Q923" s="1">
        <v>800</v>
      </c>
      <c r="R923" s="1">
        <f t="shared" si="294"/>
        <v>3000</v>
      </c>
      <c r="S923" s="1">
        <v>1.5</v>
      </c>
      <c r="U923" s="1">
        <f t="shared" si="295"/>
        <v>1052</v>
      </c>
      <c r="V923" s="7">
        <f t="shared" si="296"/>
        <v>2.8517110266159698</v>
      </c>
      <c r="W923" s="7">
        <f t="shared" si="297"/>
        <v>1040.874524714829</v>
      </c>
      <c r="X923" s="7">
        <f t="shared" si="298"/>
        <v>1.3010931558935364</v>
      </c>
      <c r="AA923" s="8">
        <f t="shared" si="299"/>
        <v>44927</v>
      </c>
      <c r="AB923" s="8">
        <f t="shared" si="300"/>
        <v>45291</v>
      </c>
      <c r="AC923" s="1">
        <v>18</v>
      </c>
      <c r="AD923" s="1">
        <f t="shared" si="301"/>
        <v>0</v>
      </c>
      <c r="AE923" s="1">
        <f t="shared" si="302"/>
        <v>329</v>
      </c>
      <c r="AF923" s="1">
        <f t="shared" si="303"/>
        <v>0</v>
      </c>
      <c r="AG923" s="1">
        <f t="shared" si="304"/>
        <v>0</v>
      </c>
      <c r="AH923" s="1">
        <f t="shared" si="305"/>
        <v>0</v>
      </c>
      <c r="AI923" s="5">
        <f t="shared" si="306"/>
        <v>0.90136986301369859</v>
      </c>
      <c r="AJ923" s="5">
        <f t="shared" si="307"/>
        <v>1.1727661596958177</v>
      </c>
      <c r="AK923" s="5">
        <f t="shared" si="308"/>
        <v>21.10979087452472</v>
      </c>
      <c r="AL923" s="5">
        <f t="shared" si="309"/>
        <v>31.664686311787079</v>
      </c>
      <c r="AM923" s="5">
        <f t="shared" si="310"/>
        <v>0</v>
      </c>
      <c r="AN923" s="5">
        <f t="shared" si="311"/>
        <v>31.664686311787079</v>
      </c>
      <c r="AO923" s="1" t="s">
        <v>102</v>
      </c>
    </row>
    <row r="924" spans="1:41" x14ac:dyDescent="0.25">
      <c r="A924" s="1" t="s">
        <v>19</v>
      </c>
      <c r="B924" s="1" t="s">
        <v>44</v>
      </c>
      <c r="C924" s="1" t="s">
        <v>21</v>
      </c>
      <c r="D924" s="1" t="s">
        <v>45</v>
      </c>
      <c r="E924" s="1" t="s">
        <v>96</v>
      </c>
      <c r="F924" s="1" t="s">
        <v>103</v>
      </c>
      <c r="G924" s="1" t="s">
        <v>114</v>
      </c>
      <c r="H924" s="1" t="s">
        <v>894</v>
      </c>
      <c r="I924" s="1" t="s">
        <v>157</v>
      </c>
      <c r="J924" s="1" t="s">
        <v>101</v>
      </c>
      <c r="K924" s="1" t="s">
        <v>116</v>
      </c>
      <c r="L924" s="1">
        <v>2949072</v>
      </c>
      <c r="M924" s="1" t="s">
        <v>1078</v>
      </c>
      <c r="N924" s="8">
        <f t="shared" si="314"/>
        <v>44963</v>
      </c>
      <c r="O924" s="8">
        <f>DATE(2025,12,23)</f>
        <v>46014</v>
      </c>
      <c r="P924" s="1">
        <v>3690</v>
      </c>
      <c r="Q924" s="1">
        <v>1200</v>
      </c>
      <c r="R924" s="1">
        <f t="shared" si="294"/>
        <v>3200</v>
      </c>
      <c r="S924" s="1">
        <v>1.5</v>
      </c>
      <c r="U924" s="1">
        <f t="shared" si="295"/>
        <v>1052</v>
      </c>
      <c r="V924" s="7">
        <f t="shared" si="296"/>
        <v>3.041825095057034</v>
      </c>
      <c r="W924" s="7">
        <f t="shared" si="297"/>
        <v>1110.2661596958174</v>
      </c>
      <c r="X924" s="7">
        <f t="shared" si="298"/>
        <v>1.3878326996197716</v>
      </c>
      <c r="AA924" s="8">
        <f t="shared" si="299"/>
        <v>44927</v>
      </c>
      <c r="AB924" s="8">
        <f t="shared" si="300"/>
        <v>45291</v>
      </c>
      <c r="AC924" s="1">
        <v>29</v>
      </c>
      <c r="AD924" s="1">
        <f t="shared" si="301"/>
        <v>0</v>
      </c>
      <c r="AE924" s="1">
        <f t="shared" si="302"/>
        <v>329</v>
      </c>
      <c r="AF924" s="1">
        <f t="shared" si="303"/>
        <v>0</v>
      </c>
      <c r="AG924" s="1">
        <f t="shared" si="304"/>
        <v>0</v>
      </c>
      <c r="AH924" s="1">
        <f t="shared" si="305"/>
        <v>0</v>
      </c>
      <c r="AI924" s="5">
        <f t="shared" si="306"/>
        <v>0.90136986301369859</v>
      </c>
      <c r="AJ924" s="5">
        <f t="shared" si="307"/>
        <v>1.250950570342205</v>
      </c>
      <c r="AK924" s="5">
        <f t="shared" si="308"/>
        <v>36.277566539923946</v>
      </c>
      <c r="AL924" s="5">
        <f t="shared" si="309"/>
        <v>54.416349809885915</v>
      </c>
      <c r="AM924" s="5">
        <f t="shared" si="310"/>
        <v>0</v>
      </c>
      <c r="AN924" s="5">
        <f t="shared" si="311"/>
        <v>54.416349809885915</v>
      </c>
      <c r="AO924" s="1" t="s">
        <v>102</v>
      </c>
    </row>
    <row r="925" spans="1:41" x14ac:dyDescent="0.25">
      <c r="A925" s="1" t="s">
        <v>19</v>
      </c>
      <c r="B925" s="1" t="s">
        <v>44</v>
      </c>
      <c r="C925" s="1" t="s">
        <v>21</v>
      </c>
      <c r="D925" s="1" t="s">
        <v>45</v>
      </c>
      <c r="E925" s="1" t="s">
        <v>96</v>
      </c>
      <c r="F925" s="1" t="s">
        <v>103</v>
      </c>
      <c r="G925" s="1" t="s">
        <v>98</v>
      </c>
      <c r="H925" s="1" t="s">
        <v>99</v>
      </c>
      <c r="I925" s="1" t="s">
        <v>100</v>
      </c>
      <c r="J925" s="1" t="s">
        <v>101</v>
      </c>
      <c r="L925" s="1">
        <v>2949120</v>
      </c>
      <c r="M925" s="1" t="s">
        <v>1079</v>
      </c>
      <c r="N925" s="8">
        <f t="shared" si="314"/>
        <v>44963</v>
      </c>
      <c r="O925" s="8">
        <f>DATE(2026,12,23)</f>
        <v>46379</v>
      </c>
      <c r="P925" s="1">
        <v>3208</v>
      </c>
      <c r="Q925" s="1">
        <v>3000</v>
      </c>
      <c r="R925" s="1">
        <f t="shared" si="294"/>
        <v>3000</v>
      </c>
      <c r="S925" s="1">
        <v>1</v>
      </c>
      <c r="U925" s="1">
        <f t="shared" si="295"/>
        <v>1417</v>
      </c>
      <c r="V925" s="7">
        <f t="shared" si="296"/>
        <v>2.1171489061397319</v>
      </c>
      <c r="W925" s="7">
        <f t="shared" si="297"/>
        <v>772.75935074100221</v>
      </c>
      <c r="X925" s="7">
        <f t="shared" si="298"/>
        <v>0.96594918842625277</v>
      </c>
      <c r="AA925" s="8">
        <f t="shared" si="299"/>
        <v>44927</v>
      </c>
      <c r="AB925" s="8">
        <f t="shared" si="300"/>
        <v>45291</v>
      </c>
      <c r="AC925" s="1">
        <v>35</v>
      </c>
      <c r="AD925" s="1">
        <f t="shared" si="301"/>
        <v>0</v>
      </c>
      <c r="AE925" s="1">
        <f t="shared" si="302"/>
        <v>329</v>
      </c>
      <c r="AF925" s="1">
        <f t="shared" si="303"/>
        <v>0</v>
      </c>
      <c r="AG925" s="1">
        <f t="shared" si="304"/>
        <v>0</v>
      </c>
      <c r="AH925" s="1">
        <f t="shared" si="305"/>
        <v>0</v>
      </c>
      <c r="AI925" s="5">
        <f t="shared" si="306"/>
        <v>0.90136986301369859</v>
      </c>
      <c r="AJ925" s="5">
        <f t="shared" si="307"/>
        <v>0.87067748764996478</v>
      </c>
      <c r="AK925" s="5">
        <f t="shared" si="308"/>
        <v>30.473712067748767</v>
      </c>
      <c r="AL925" s="5">
        <f t="shared" si="309"/>
        <v>30.473712067748767</v>
      </c>
      <c r="AM925" s="5">
        <f t="shared" si="310"/>
        <v>0</v>
      </c>
      <c r="AN925" s="5">
        <f t="shared" si="311"/>
        <v>30.473712067748767</v>
      </c>
      <c r="AO925" s="1" t="s">
        <v>102</v>
      </c>
    </row>
    <row r="926" spans="1:41" x14ac:dyDescent="0.25">
      <c r="A926" s="1" t="s">
        <v>19</v>
      </c>
      <c r="B926" s="1" t="s">
        <v>44</v>
      </c>
      <c r="C926" s="1" t="s">
        <v>21</v>
      </c>
      <c r="D926" s="1" t="s">
        <v>45</v>
      </c>
      <c r="E926" s="1" t="s">
        <v>96</v>
      </c>
      <c r="F926" s="1" t="s">
        <v>103</v>
      </c>
      <c r="G926" s="1" t="s">
        <v>320</v>
      </c>
      <c r="H926" s="1" t="s">
        <v>456</v>
      </c>
      <c r="I926" s="1" t="s">
        <v>174</v>
      </c>
      <c r="J926" s="1" t="s">
        <v>101</v>
      </c>
      <c r="L926" s="1">
        <v>2949122</v>
      </c>
      <c r="M926" s="1" t="s">
        <v>1080</v>
      </c>
      <c r="N926" s="8">
        <f t="shared" si="314"/>
        <v>44963</v>
      </c>
      <c r="O926" s="8">
        <f>DATE(2026,12,23)</f>
        <v>46379</v>
      </c>
      <c r="P926" s="1">
        <v>2997</v>
      </c>
      <c r="Q926" s="1">
        <v>3200</v>
      </c>
      <c r="R926" s="1">
        <f t="shared" si="294"/>
        <v>3200</v>
      </c>
      <c r="S926" s="1">
        <v>2.5</v>
      </c>
      <c r="U926" s="1">
        <f t="shared" si="295"/>
        <v>1417</v>
      </c>
      <c r="V926" s="7">
        <f t="shared" si="296"/>
        <v>2.1150317572335919</v>
      </c>
      <c r="W926" s="7">
        <f t="shared" si="297"/>
        <v>771.98659139026108</v>
      </c>
      <c r="X926" s="7">
        <f t="shared" si="298"/>
        <v>0.96498323923782636</v>
      </c>
      <c r="AA926" s="8">
        <f t="shared" si="299"/>
        <v>44927</v>
      </c>
      <c r="AB926" s="8">
        <f t="shared" si="300"/>
        <v>45291</v>
      </c>
      <c r="AC926" s="1">
        <v>34</v>
      </c>
      <c r="AD926" s="1">
        <f t="shared" si="301"/>
        <v>0</v>
      </c>
      <c r="AE926" s="1">
        <f t="shared" si="302"/>
        <v>329</v>
      </c>
      <c r="AF926" s="1">
        <f t="shared" si="303"/>
        <v>0</v>
      </c>
      <c r="AG926" s="1">
        <f t="shared" si="304"/>
        <v>0</v>
      </c>
      <c r="AH926" s="1">
        <f t="shared" si="305"/>
        <v>0</v>
      </c>
      <c r="AI926" s="5">
        <f t="shared" si="306"/>
        <v>0.90136986301369859</v>
      </c>
      <c r="AJ926" s="5">
        <f t="shared" si="307"/>
        <v>0.86980681016231465</v>
      </c>
      <c r="AK926" s="5">
        <f t="shared" si="308"/>
        <v>29.573431545518698</v>
      </c>
      <c r="AL926" s="5">
        <f t="shared" si="309"/>
        <v>73.93357886379674</v>
      </c>
      <c r="AM926" s="5">
        <f t="shared" si="310"/>
        <v>0</v>
      </c>
      <c r="AN926" s="5">
        <f t="shared" si="311"/>
        <v>73.93357886379674</v>
      </c>
      <c r="AO926" s="1" t="s">
        <v>102</v>
      </c>
    </row>
    <row r="927" spans="1:41" x14ac:dyDescent="0.25">
      <c r="A927" s="1" t="s">
        <v>19</v>
      </c>
      <c r="B927" s="1" t="s">
        <v>44</v>
      </c>
      <c r="C927" s="1" t="s">
        <v>21</v>
      </c>
      <c r="D927" s="1" t="s">
        <v>45</v>
      </c>
      <c r="E927" s="1" t="s">
        <v>96</v>
      </c>
      <c r="F927" s="1" t="s">
        <v>103</v>
      </c>
      <c r="G927" s="1" t="s">
        <v>320</v>
      </c>
      <c r="H927" s="1" t="s">
        <v>353</v>
      </c>
      <c r="I927" s="1" t="s">
        <v>174</v>
      </c>
      <c r="J927" s="1" t="s">
        <v>101</v>
      </c>
      <c r="L927" s="1">
        <v>2949126</v>
      </c>
      <c r="M927" s="1" t="s">
        <v>1081</v>
      </c>
      <c r="N927" s="8">
        <f t="shared" si="314"/>
        <v>44963</v>
      </c>
      <c r="O927" s="8">
        <f>DATE(2026,12,23)</f>
        <v>46379</v>
      </c>
      <c r="P927" s="1">
        <v>3054</v>
      </c>
      <c r="Q927" s="1">
        <v>3200</v>
      </c>
      <c r="R927" s="1">
        <f t="shared" si="294"/>
        <v>3200</v>
      </c>
      <c r="S927" s="1">
        <v>2.5</v>
      </c>
      <c r="U927" s="1">
        <f t="shared" si="295"/>
        <v>1417</v>
      </c>
      <c r="V927" s="7">
        <f t="shared" si="296"/>
        <v>2.1552575864502468</v>
      </c>
      <c r="W927" s="7">
        <f t="shared" si="297"/>
        <v>786.66901905434008</v>
      </c>
      <c r="X927" s="7">
        <f t="shared" si="298"/>
        <v>0.9833362738179251</v>
      </c>
      <c r="AA927" s="8">
        <f t="shared" si="299"/>
        <v>44927</v>
      </c>
      <c r="AB927" s="8">
        <f t="shared" si="300"/>
        <v>45291</v>
      </c>
      <c r="AC927" s="1">
        <v>12</v>
      </c>
      <c r="AD927" s="1">
        <f t="shared" si="301"/>
        <v>0</v>
      </c>
      <c r="AE927" s="1">
        <f t="shared" si="302"/>
        <v>329</v>
      </c>
      <c r="AF927" s="1">
        <f t="shared" si="303"/>
        <v>0</v>
      </c>
      <c r="AG927" s="1">
        <f t="shared" si="304"/>
        <v>0</v>
      </c>
      <c r="AH927" s="1">
        <f t="shared" si="305"/>
        <v>0</v>
      </c>
      <c r="AI927" s="5">
        <f t="shared" si="306"/>
        <v>0.90136986301369859</v>
      </c>
      <c r="AJ927" s="5">
        <f t="shared" si="307"/>
        <v>0.88634968242766399</v>
      </c>
      <c r="AK927" s="5">
        <f t="shared" si="308"/>
        <v>10.636196189131969</v>
      </c>
      <c r="AL927" s="5">
        <f t="shared" si="309"/>
        <v>26.59049047282992</v>
      </c>
      <c r="AM927" s="5">
        <f t="shared" si="310"/>
        <v>0</v>
      </c>
      <c r="AN927" s="5">
        <f t="shared" si="311"/>
        <v>26.59049047282992</v>
      </c>
      <c r="AO927" s="1" t="s">
        <v>102</v>
      </c>
    </row>
    <row r="928" spans="1:41" x14ac:dyDescent="0.25">
      <c r="A928" s="1" t="s">
        <v>19</v>
      </c>
      <c r="B928" s="1" t="s">
        <v>44</v>
      </c>
      <c r="C928" s="1" t="s">
        <v>21</v>
      </c>
      <c r="D928" s="1" t="s">
        <v>45</v>
      </c>
      <c r="E928" s="1" t="s">
        <v>96</v>
      </c>
      <c r="F928" s="1" t="s">
        <v>103</v>
      </c>
      <c r="G928" s="1" t="s">
        <v>98</v>
      </c>
      <c r="H928" s="1" t="s">
        <v>355</v>
      </c>
      <c r="I928" s="1" t="s">
        <v>105</v>
      </c>
      <c r="J928" s="1" t="s">
        <v>106</v>
      </c>
      <c r="L928" s="1">
        <v>2953126</v>
      </c>
      <c r="M928" s="1" t="s">
        <v>1082</v>
      </c>
      <c r="N928" s="8">
        <f t="shared" si="314"/>
        <v>44963</v>
      </c>
      <c r="O928" s="8">
        <f>DATE(2027,12,23)</f>
        <v>46744</v>
      </c>
      <c r="P928" s="1">
        <v>3780</v>
      </c>
      <c r="Q928" s="1">
        <v>3600</v>
      </c>
      <c r="R928" s="1">
        <f t="shared" si="294"/>
        <v>3600</v>
      </c>
      <c r="S928" s="1">
        <v>2.5</v>
      </c>
      <c r="U928" s="1">
        <f t="shared" si="295"/>
        <v>1782</v>
      </c>
      <c r="V928" s="7">
        <f t="shared" si="296"/>
        <v>2.0202020202020203</v>
      </c>
      <c r="W928" s="7">
        <f t="shared" si="297"/>
        <v>737.37373737373741</v>
      </c>
      <c r="X928" s="7">
        <f t="shared" si="298"/>
        <v>0.92171717171717171</v>
      </c>
      <c r="AA928" s="8">
        <f t="shared" si="299"/>
        <v>44927</v>
      </c>
      <c r="AB928" s="8">
        <f t="shared" si="300"/>
        <v>45291</v>
      </c>
      <c r="AC928" s="1">
        <v>35</v>
      </c>
      <c r="AD928" s="1">
        <f t="shared" si="301"/>
        <v>0</v>
      </c>
      <c r="AE928" s="1">
        <f t="shared" si="302"/>
        <v>329</v>
      </c>
      <c r="AF928" s="1">
        <f t="shared" si="303"/>
        <v>0</v>
      </c>
      <c r="AG928" s="1">
        <f t="shared" si="304"/>
        <v>0</v>
      </c>
      <c r="AH928" s="1">
        <f t="shared" si="305"/>
        <v>0</v>
      </c>
      <c r="AI928" s="5">
        <f t="shared" si="306"/>
        <v>0.90136986301369859</v>
      </c>
      <c r="AJ928" s="5">
        <f t="shared" si="307"/>
        <v>0.83080808080808077</v>
      </c>
      <c r="AK928" s="5">
        <f t="shared" si="308"/>
        <v>29.078282828282827</v>
      </c>
      <c r="AL928" s="5">
        <f t="shared" si="309"/>
        <v>72.695707070707073</v>
      </c>
      <c r="AM928" s="5">
        <f t="shared" si="310"/>
        <v>36.347853535353536</v>
      </c>
      <c r="AN928" s="5">
        <f t="shared" si="311"/>
        <v>109.04356060606061</v>
      </c>
      <c r="AO928" s="1" t="s">
        <v>102</v>
      </c>
    </row>
    <row r="929" spans="1:41" x14ac:dyDescent="0.25">
      <c r="A929" s="1" t="s">
        <v>19</v>
      </c>
      <c r="B929" s="1" t="s">
        <v>44</v>
      </c>
      <c r="C929" s="1" t="s">
        <v>21</v>
      </c>
      <c r="D929" s="1" t="s">
        <v>45</v>
      </c>
      <c r="E929" s="1" t="s">
        <v>172</v>
      </c>
      <c r="F929" s="1" t="s">
        <v>103</v>
      </c>
      <c r="G929" s="1" t="s">
        <v>114</v>
      </c>
      <c r="H929" s="1" t="s">
        <v>177</v>
      </c>
      <c r="I929" s="1" t="s">
        <v>174</v>
      </c>
      <c r="J929" s="1" t="s">
        <v>101</v>
      </c>
      <c r="K929" s="1" t="s">
        <v>175</v>
      </c>
      <c r="L929" s="1">
        <v>2966363</v>
      </c>
      <c r="M929" s="1" t="s">
        <v>346</v>
      </c>
      <c r="N929" s="8">
        <f>DATE(2023,4,3)</f>
        <v>45019</v>
      </c>
      <c r="O929" s="8">
        <f>DATE(2024,10,31)</f>
        <v>45596</v>
      </c>
      <c r="P929" s="1">
        <v>1200</v>
      </c>
      <c r="Q929" s="1">
        <v>1200</v>
      </c>
      <c r="R929" s="1">
        <f t="shared" si="294"/>
        <v>1200</v>
      </c>
      <c r="S929" s="1">
        <v>1</v>
      </c>
      <c r="U929" s="1">
        <f t="shared" si="295"/>
        <v>578</v>
      </c>
      <c r="V929" s="7">
        <f t="shared" si="296"/>
        <v>2.0761245674740483</v>
      </c>
      <c r="W929" s="7">
        <f t="shared" si="297"/>
        <v>757.78546712802768</v>
      </c>
      <c r="X929" s="7">
        <f t="shared" si="298"/>
        <v>0.94723183391003463</v>
      </c>
      <c r="AA929" s="8">
        <f t="shared" si="299"/>
        <v>44927</v>
      </c>
      <c r="AB929" s="8">
        <f t="shared" si="300"/>
        <v>45291</v>
      </c>
      <c r="AC929" s="1">
        <v>30</v>
      </c>
      <c r="AD929" s="1">
        <f t="shared" si="301"/>
        <v>0</v>
      </c>
      <c r="AE929" s="1">
        <f t="shared" si="302"/>
        <v>273</v>
      </c>
      <c r="AF929" s="1">
        <f t="shared" si="303"/>
        <v>0</v>
      </c>
      <c r="AG929" s="1">
        <f t="shared" si="304"/>
        <v>0</v>
      </c>
      <c r="AH929" s="1">
        <f t="shared" si="305"/>
        <v>0</v>
      </c>
      <c r="AI929" s="5">
        <f t="shared" si="306"/>
        <v>0.74794520547945209</v>
      </c>
      <c r="AJ929" s="5">
        <f t="shared" si="307"/>
        <v>0.70847750865051906</v>
      </c>
      <c r="AK929" s="5">
        <f t="shared" si="308"/>
        <v>21.254325259515571</v>
      </c>
      <c r="AL929" s="5">
        <f t="shared" si="309"/>
        <v>21.254325259515571</v>
      </c>
      <c r="AM929" s="5">
        <f t="shared" si="310"/>
        <v>0</v>
      </c>
      <c r="AN929" s="5">
        <f t="shared" si="311"/>
        <v>21.254325259515571</v>
      </c>
      <c r="AO929" s="1" t="s">
        <v>122</v>
      </c>
    </row>
    <row r="930" spans="1:41" x14ac:dyDescent="0.25">
      <c r="A930" s="1" t="s">
        <v>19</v>
      </c>
      <c r="B930" s="1" t="s">
        <v>44</v>
      </c>
      <c r="C930" s="1" t="s">
        <v>21</v>
      </c>
      <c r="D930" s="1" t="s">
        <v>45</v>
      </c>
      <c r="E930" s="1" t="s">
        <v>172</v>
      </c>
      <c r="F930" s="1" t="s">
        <v>103</v>
      </c>
      <c r="G930" s="1" t="s">
        <v>114</v>
      </c>
      <c r="H930" s="1" t="s">
        <v>179</v>
      </c>
      <c r="I930" s="1" t="s">
        <v>174</v>
      </c>
      <c r="J930" s="1" t="s">
        <v>101</v>
      </c>
      <c r="K930" s="1" t="s">
        <v>175</v>
      </c>
      <c r="L930" s="1">
        <v>2966367</v>
      </c>
      <c r="M930" s="1" t="s">
        <v>347</v>
      </c>
      <c r="N930" s="8">
        <f>DATE(2023,4,3)</f>
        <v>45019</v>
      </c>
      <c r="O930" s="8">
        <f>DATE(2024,10,31)</f>
        <v>45596</v>
      </c>
      <c r="P930" s="1">
        <v>1200</v>
      </c>
      <c r="Q930" s="1">
        <v>800</v>
      </c>
      <c r="R930" s="1">
        <f t="shared" si="294"/>
        <v>800</v>
      </c>
      <c r="S930" s="1">
        <v>1.5</v>
      </c>
      <c r="U930" s="1">
        <f t="shared" si="295"/>
        <v>578</v>
      </c>
      <c r="V930" s="7">
        <f t="shared" si="296"/>
        <v>1.3840830449826989</v>
      </c>
      <c r="W930" s="7">
        <f t="shared" si="297"/>
        <v>505.1903114186851</v>
      </c>
      <c r="X930" s="7">
        <f t="shared" si="298"/>
        <v>0.63148788927335642</v>
      </c>
      <c r="AA930" s="8">
        <f t="shared" si="299"/>
        <v>44927</v>
      </c>
      <c r="AB930" s="8">
        <f t="shared" si="300"/>
        <v>45291</v>
      </c>
      <c r="AC930" s="1">
        <v>13</v>
      </c>
      <c r="AD930" s="1">
        <f t="shared" si="301"/>
        <v>0</v>
      </c>
      <c r="AE930" s="1">
        <f t="shared" si="302"/>
        <v>273</v>
      </c>
      <c r="AF930" s="1">
        <f t="shared" si="303"/>
        <v>0</v>
      </c>
      <c r="AG930" s="1">
        <f t="shared" si="304"/>
        <v>0</v>
      </c>
      <c r="AH930" s="1">
        <f t="shared" si="305"/>
        <v>0</v>
      </c>
      <c r="AI930" s="5">
        <f t="shared" si="306"/>
        <v>0.74794520547945209</v>
      </c>
      <c r="AJ930" s="5">
        <f t="shared" si="307"/>
        <v>0.47231833910034604</v>
      </c>
      <c r="AK930" s="5">
        <f t="shared" si="308"/>
        <v>6.1401384083044981</v>
      </c>
      <c r="AL930" s="5">
        <f t="shared" si="309"/>
        <v>9.2102076124567471</v>
      </c>
      <c r="AM930" s="5">
        <f t="shared" si="310"/>
        <v>0</v>
      </c>
      <c r="AN930" s="5">
        <f t="shared" si="311"/>
        <v>9.2102076124567471</v>
      </c>
      <c r="AO930" s="1" t="s">
        <v>122</v>
      </c>
    </row>
    <row r="931" spans="1:41" x14ac:dyDescent="0.25">
      <c r="A931" s="1" t="s">
        <v>19</v>
      </c>
      <c r="B931" s="1" t="s">
        <v>44</v>
      </c>
      <c r="C931" s="1" t="s">
        <v>21</v>
      </c>
      <c r="D931" s="1" t="s">
        <v>45</v>
      </c>
      <c r="E931" s="1" t="s">
        <v>172</v>
      </c>
      <c r="F931" s="1" t="s">
        <v>103</v>
      </c>
      <c r="G931" s="1" t="s">
        <v>114</v>
      </c>
      <c r="H931" s="1" t="s">
        <v>173</v>
      </c>
      <c r="I931" s="1" t="s">
        <v>174</v>
      </c>
      <c r="J931" s="1" t="s">
        <v>101</v>
      </c>
      <c r="K931" s="1" t="s">
        <v>175</v>
      </c>
      <c r="L931" s="1">
        <v>2966371</v>
      </c>
      <c r="M931" s="1" t="s">
        <v>345</v>
      </c>
      <c r="N931" s="8">
        <f>DATE(2023,4,3)</f>
        <v>45019</v>
      </c>
      <c r="O931" s="8">
        <f>DATE(2024,10,31)</f>
        <v>45596</v>
      </c>
      <c r="P931" s="1">
        <v>1200</v>
      </c>
      <c r="Q931" s="1">
        <v>1200</v>
      </c>
      <c r="R931" s="1">
        <f t="shared" si="294"/>
        <v>1200</v>
      </c>
      <c r="S931" s="1">
        <v>2</v>
      </c>
      <c r="U931" s="1">
        <f t="shared" si="295"/>
        <v>578</v>
      </c>
      <c r="V931" s="7">
        <f t="shared" si="296"/>
        <v>2.0761245674740483</v>
      </c>
      <c r="W931" s="7">
        <f t="shared" si="297"/>
        <v>757.78546712802768</v>
      </c>
      <c r="X931" s="7">
        <f t="shared" si="298"/>
        <v>0.94723183391003463</v>
      </c>
      <c r="AA931" s="8">
        <f t="shared" si="299"/>
        <v>44927</v>
      </c>
      <c r="AB931" s="8">
        <f t="shared" si="300"/>
        <v>45291</v>
      </c>
      <c r="AC931" s="1">
        <v>17</v>
      </c>
      <c r="AD931" s="1">
        <f t="shared" si="301"/>
        <v>0</v>
      </c>
      <c r="AE931" s="1">
        <f t="shared" si="302"/>
        <v>273</v>
      </c>
      <c r="AF931" s="1">
        <f t="shared" si="303"/>
        <v>0</v>
      </c>
      <c r="AG931" s="1">
        <f t="shared" si="304"/>
        <v>0</v>
      </c>
      <c r="AH931" s="1">
        <f t="shared" si="305"/>
        <v>0</v>
      </c>
      <c r="AI931" s="5">
        <f t="shared" si="306"/>
        <v>0.74794520547945209</v>
      </c>
      <c r="AJ931" s="5">
        <f t="shared" si="307"/>
        <v>0.70847750865051906</v>
      </c>
      <c r="AK931" s="5">
        <f t="shared" si="308"/>
        <v>12.044117647058824</v>
      </c>
      <c r="AL931" s="5">
        <f t="shared" si="309"/>
        <v>24.088235294117649</v>
      </c>
      <c r="AM931" s="5">
        <f t="shared" si="310"/>
        <v>0</v>
      </c>
      <c r="AN931" s="5">
        <f t="shared" si="311"/>
        <v>24.088235294117649</v>
      </c>
      <c r="AO931" s="1" t="s">
        <v>122</v>
      </c>
    </row>
    <row r="932" spans="1:41" x14ac:dyDescent="0.25">
      <c r="A932" s="1" t="s">
        <v>19</v>
      </c>
      <c r="B932" s="1" t="s">
        <v>46</v>
      </c>
      <c r="C932" s="1" t="s">
        <v>21</v>
      </c>
      <c r="D932" s="1" t="s">
        <v>47</v>
      </c>
      <c r="E932" s="1" t="s">
        <v>96</v>
      </c>
      <c r="F932" s="1" t="s">
        <v>103</v>
      </c>
      <c r="G932" s="1" t="s">
        <v>320</v>
      </c>
      <c r="H932" s="1" t="s">
        <v>451</v>
      </c>
      <c r="I932" s="1" t="s">
        <v>174</v>
      </c>
      <c r="J932" s="1" t="s">
        <v>101</v>
      </c>
      <c r="L932" s="1">
        <v>1859054</v>
      </c>
      <c r="M932" s="1" t="s">
        <v>1083</v>
      </c>
      <c r="N932" s="8">
        <f>DATE(2014,2,5)</f>
        <v>41675</v>
      </c>
      <c r="O932" s="8">
        <f>DATE(2017,12,20)</f>
        <v>43089</v>
      </c>
      <c r="P932" s="1">
        <v>2816</v>
      </c>
      <c r="Q932" s="1">
        <v>3200</v>
      </c>
      <c r="R932" s="1">
        <f t="shared" si="294"/>
        <v>3200</v>
      </c>
      <c r="S932" s="1">
        <v>2.5</v>
      </c>
      <c r="U932" s="1">
        <f t="shared" si="295"/>
        <v>1415</v>
      </c>
      <c r="V932" s="7">
        <f t="shared" si="296"/>
        <v>1.9901060070671379</v>
      </c>
      <c r="W932" s="7">
        <f t="shared" si="297"/>
        <v>726.38869257950535</v>
      </c>
      <c r="X932" s="7">
        <f t="shared" si="298"/>
        <v>0.90798586572438167</v>
      </c>
      <c r="AA932" s="8">
        <f t="shared" si="299"/>
        <v>44927</v>
      </c>
      <c r="AB932" s="8">
        <f t="shared" si="300"/>
        <v>45291</v>
      </c>
      <c r="AC932" s="1">
        <v>1</v>
      </c>
      <c r="AD932" s="1">
        <f t="shared" si="301"/>
        <v>0</v>
      </c>
      <c r="AE932" s="1">
        <f t="shared" si="302"/>
        <v>0</v>
      </c>
      <c r="AF932" s="1">
        <f t="shared" si="303"/>
        <v>0</v>
      </c>
      <c r="AG932" s="1">
        <f t="shared" si="304"/>
        <v>0</v>
      </c>
      <c r="AH932" s="1">
        <f t="shared" si="305"/>
        <v>182.5</v>
      </c>
      <c r="AI932" s="5">
        <f t="shared" si="306"/>
        <v>0.5</v>
      </c>
      <c r="AJ932" s="5">
        <f t="shared" si="307"/>
        <v>0.45399293286219083</v>
      </c>
      <c r="AK932" s="5">
        <f t="shared" si="308"/>
        <v>0</v>
      </c>
      <c r="AL932" s="5">
        <f t="shared" si="309"/>
        <v>0</v>
      </c>
      <c r="AM932" s="5">
        <f t="shared" si="310"/>
        <v>0</v>
      </c>
      <c r="AN932" s="5">
        <f t="shared" si="311"/>
        <v>0</v>
      </c>
      <c r="AO932" s="1" t="s">
        <v>102</v>
      </c>
    </row>
    <row r="933" spans="1:41" x14ac:dyDescent="0.25">
      <c r="A933" s="1" t="s">
        <v>19</v>
      </c>
      <c r="B933" s="1" t="s">
        <v>46</v>
      </c>
      <c r="C933" s="1" t="s">
        <v>21</v>
      </c>
      <c r="D933" s="1" t="s">
        <v>47</v>
      </c>
      <c r="E933" s="1" t="s">
        <v>96</v>
      </c>
      <c r="F933" s="1" t="s">
        <v>103</v>
      </c>
      <c r="G933" s="1" t="s">
        <v>127</v>
      </c>
      <c r="H933" s="1" t="s">
        <v>1084</v>
      </c>
      <c r="I933" s="1" t="s">
        <v>100</v>
      </c>
      <c r="J933" s="1" t="s">
        <v>101</v>
      </c>
      <c r="L933" s="1">
        <v>1859071</v>
      </c>
      <c r="M933" s="1" t="s">
        <v>1085</v>
      </c>
      <c r="N933" s="8">
        <f>DATE(2014,2,5)</f>
        <v>41675</v>
      </c>
      <c r="O933" s="8">
        <f>DATE(2016,12,20)</f>
        <v>42724</v>
      </c>
      <c r="P933" s="1">
        <v>1922</v>
      </c>
      <c r="Q933" s="1">
        <v>1600</v>
      </c>
      <c r="R933" s="1">
        <f t="shared" si="294"/>
        <v>1600</v>
      </c>
      <c r="S933" s="1">
        <v>1</v>
      </c>
      <c r="U933" s="1">
        <f t="shared" si="295"/>
        <v>1050</v>
      </c>
      <c r="V933" s="7">
        <f t="shared" si="296"/>
        <v>1.5238095238095237</v>
      </c>
      <c r="W933" s="7">
        <f t="shared" si="297"/>
        <v>556.19047619047615</v>
      </c>
      <c r="X933" s="7">
        <f t="shared" si="298"/>
        <v>0.69523809523809521</v>
      </c>
      <c r="AA933" s="8">
        <f t="shared" si="299"/>
        <v>44927</v>
      </c>
      <c r="AB933" s="8">
        <f t="shared" si="300"/>
        <v>45291</v>
      </c>
      <c r="AC933" s="1">
        <v>1</v>
      </c>
      <c r="AD933" s="1">
        <f t="shared" si="301"/>
        <v>0</v>
      </c>
      <c r="AE933" s="1">
        <f t="shared" si="302"/>
        <v>0</v>
      </c>
      <c r="AF933" s="1">
        <f t="shared" si="303"/>
        <v>0</v>
      </c>
      <c r="AG933" s="1">
        <f t="shared" si="304"/>
        <v>0</v>
      </c>
      <c r="AH933" s="1">
        <f t="shared" si="305"/>
        <v>182.5</v>
      </c>
      <c r="AI933" s="5">
        <f t="shared" si="306"/>
        <v>0.5</v>
      </c>
      <c r="AJ933" s="5">
        <f t="shared" si="307"/>
        <v>0.34761904761904761</v>
      </c>
      <c r="AK933" s="5">
        <f t="shared" si="308"/>
        <v>0</v>
      </c>
      <c r="AL933" s="5">
        <f t="shared" si="309"/>
        <v>0</v>
      </c>
      <c r="AM933" s="5">
        <f t="shared" si="310"/>
        <v>0</v>
      </c>
      <c r="AN933" s="5">
        <f t="shared" si="311"/>
        <v>0</v>
      </c>
      <c r="AO933" s="1" t="s">
        <v>102</v>
      </c>
    </row>
    <row r="934" spans="1:41" x14ac:dyDescent="0.25">
      <c r="A934" s="1" t="s">
        <v>19</v>
      </c>
      <c r="B934" s="1" t="s">
        <v>46</v>
      </c>
      <c r="C934" s="1" t="s">
        <v>21</v>
      </c>
      <c r="D934" s="1" t="s">
        <v>47</v>
      </c>
      <c r="E934" s="1" t="s">
        <v>96</v>
      </c>
      <c r="F934" s="1" t="s">
        <v>103</v>
      </c>
      <c r="G934" s="1" t="s">
        <v>320</v>
      </c>
      <c r="H934" s="1" t="s">
        <v>451</v>
      </c>
      <c r="I934" s="1" t="s">
        <v>174</v>
      </c>
      <c r="J934" s="1" t="s">
        <v>101</v>
      </c>
      <c r="L934" s="1">
        <v>2025394</v>
      </c>
      <c r="M934" s="1" t="s">
        <v>1086</v>
      </c>
      <c r="N934" s="8">
        <f>DATE(2016,3,21)</f>
        <v>42450</v>
      </c>
      <c r="O934" s="8">
        <f>DATE(2019,12,20)</f>
        <v>43819</v>
      </c>
      <c r="P934" s="1">
        <v>2980</v>
      </c>
      <c r="Q934" s="1">
        <v>3200</v>
      </c>
      <c r="R934" s="1">
        <f t="shared" si="294"/>
        <v>3200</v>
      </c>
      <c r="S934" s="1">
        <v>2.5</v>
      </c>
      <c r="U934" s="1">
        <f t="shared" si="295"/>
        <v>1370</v>
      </c>
      <c r="V934" s="7">
        <f t="shared" si="296"/>
        <v>2.1751824817518246</v>
      </c>
      <c r="W934" s="7">
        <f t="shared" si="297"/>
        <v>793.94160583941596</v>
      </c>
      <c r="X934" s="7">
        <f t="shared" si="298"/>
        <v>0.99242700729926991</v>
      </c>
      <c r="AA934" s="8">
        <f t="shared" si="299"/>
        <v>44927</v>
      </c>
      <c r="AB934" s="8">
        <f t="shared" si="300"/>
        <v>45291</v>
      </c>
      <c r="AC934" s="1">
        <v>5</v>
      </c>
      <c r="AD934" s="1">
        <f t="shared" si="301"/>
        <v>0</v>
      </c>
      <c r="AE934" s="1">
        <f t="shared" si="302"/>
        <v>0</v>
      </c>
      <c r="AF934" s="1">
        <f t="shared" si="303"/>
        <v>0</v>
      </c>
      <c r="AG934" s="1">
        <f t="shared" si="304"/>
        <v>0</v>
      </c>
      <c r="AH934" s="1">
        <f t="shared" si="305"/>
        <v>182.5</v>
      </c>
      <c r="AI934" s="5">
        <f t="shared" si="306"/>
        <v>0.5</v>
      </c>
      <c r="AJ934" s="5">
        <f t="shared" si="307"/>
        <v>0.49621350364963496</v>
      </c>
      <c r="AK934" s="5">
        <f t="shared" si="308"/>
        <v>0</v>
      </c>
      <c r="AL934" s="5">
        <f t="shared" si="309"/>
        <v>0</v>
      </c>
      <c r="AM934" s="5">
        <f t="shared" si="310"/>
        <v>0</v>
      </c>
      <c r="AN934" s="5">
        <f t="shared" si="311"/>
        <v>0</v>
      </c>
      <c r="AO934" s="1" t="s">
        <v>102</v>
      </c>
    </row>
    <row r="935" spans="1:41" x14ac:dyDescent="0.25">
      <c r="A935" s="1" t="s">
        <v>19</v>
      </c>
      <c r="B935" s="1" t="s">
        <v>46</v>
      </c>
      <c r="C935" s="1" t="s">
        <v>21</v>
      </c>
      <c r="D935" s="1" t="s">
        <v>47</v>
      </c>
      <c r="E935" s="1" t="s">
        <v>96</v>
      </c>
      <c r="F935" s="1" t="s">
        <v>103</v>
      </c>
      <c r="G935" s="1" t="s">
        <v>127</v>
      </c>
      <c r="H935" s="1" t="s">
        <v>1084</v>
      </c>
      <c r="I935" s="1" t="s">
        <v>100</v>
      </c>
      <c r="J935" s="1" t="s">
        <v>101</v>
      </c>
      <c r="L935" s="1">
        <v>2025402</v>
      </c>
      <c r="M935" s="1" t="s">
        <v>1087</v>
      </c>
      <c r="N935" s="8">
        <f>DATE(2016,3,21)</f>
        <v>42450</v>
      </c>
      <c r="O935" s="8">
        <f>DATE(2018,12,21)</f>
        <v>43455</v>
      </c>
      <c r="P935" s="1">
        <v>1888</v>
      </c>
      <c r="Q935" s="1">
        <v>1600</v>
      </c>
      <c r="R935" s="1">
        <f t="shared" si="294"/>
        <v>1600</v>
      </c>
      <c r="S935" s="1">
        <v>1</v>
      </c>
      <c r="U935" s="1">
        <f t="shared" si="295"/>
        <v>1006</v>
      </c>
      <c r="V935" s="7">
        <f t="shared" si="296"/>
        <v>1.5904572564612327</v>
      </c>
      <c r="W935" s="7">
        <f t="shared" si="297"/>
        <v>580.51689860834995</v>
      </c>
      <c r="X935" s="7">
        <f t="shared" si="298"/>
        <v>0.72564612326043743</v>
      </c>
      <c r="AA935" s="8">
        <f t="shared" si="299"/>
        <v>44927</v>
      </c>
      <c r="AB935" s="8">
        <f t="shared" si="300"/>
        <v>45291</v>
      </c>
      <c r="AC935" s="1">
        <v>4</v>
      </c>
      <c r="AD935" s="1">
        <f t="shared" si="301"/>
        <v>0</v>
      </c>
      <c r="AE935" s="1">
        <f t="shared" si="302"/>
        <v>0</v>
      </c>
      <c r="AF935" s="1">
        <f t="shared" si="303"/>
        <v>0</v>
      </c>
      <c r="AG935" s="1">
        <f t="shared" si="304"/>
        <v>0</v>
      </c>
      <c r="AH935" s="1">
        <f t="shared" si="305"/>
        <v>182.5</v>
      </c>
      <c r="AI935" s="5">
        <f t="shared" si="306"/>
        <v>0.5</v>
      </c>
      <c r="AJ935" s="5">
        <f t="shared" si="307"/>
        <v>0.36282306163021871</v>
      </c>
      <c r="AK935" s="5">
        <f t="shared" si="308"/>
        <v>0</v>
      </c>
      <c r="AL935" s="5">
        <f t="shared" si="309"/>
        <v>0</v>
      </c>
      <c r="AM935" s="5">
        <f t="shared" si="310"/>
        <v>0</v>
      </c>
      <c r="AN935" s="5">
        <f t="shared" si="311"/>
        <v>0</v>
      </c>
      <c r="AO935" s="1" t="s">
        <v>102</v>
      </c>
    </row>
    <row r="936" spans="1:41" x14ac:dyDescent="0.25">
      <c r="A936" s="1" t="s">
        <v>19</v>
      </c>
      <c r="B936" s="1" t="s">
        <v>46</v>
      </c>
      <c r="C936" s="1" t="s">
        <v>21</v>
      </c>
      <c r="D936" s="1" t="s">
        <v>47</v>
      </c>
      <c r="E936" s="1" t="s">
        <v>96</v>
      </c>
      <c r="F936" s="1" t="s">
        <v>103</v>
      </c>
      <c r="G936" s="1" t="s">
        <v>185</v>
      </c>
      <c r="H936" s="1" t="s">
        <v>186</v>
      </c>
      <c r="I936" s="1" t="s">
        <v>100</v>
      </c>
      <c r="J936" s="1" t="s">
        <v>101</v>
      </c>
      <c r="L936" s="1">
        <v>2116882</v>
      </c>
      <c r="M936" s="1" t="s">
        <v>1088</v>
      </c>
      <c r="N936" s="8">
        <f>DATE(2016,11,25)</f>
        <v>42699</v>
      </c>
      <c r="O936" s="8">
        <f>DATE(2018,4,30)</f>
        <v>43220</v>
      </c>
      <c r="P936" s="1">
        <v>420</v>
      </c>
      <c r="Q936" s="1">
        <v>360</v>
      </c>
      <c r="R936" s="1">
        <f t="shared" si="294"/>
        <v>360</v>
      </c>
      <c r="S936" s="1">
        <v>1</v>
      </c>
      <c r="U936" s="1">
        <f t="shared" si="295"/>
        <v>522</v>
      </c>
      <c r="V936" s="7">
        <f t="shared" si="296"/>
        <v>0.68965517241379315</v>
      </c>
      <c r="W936" s="7">
        <f t="shared" si="297"/>
        <v>251.72413793103451</v>
      </c>
      <c r="X936" s="7">
        <f t="shared" si="298"/>
        <v>0.31465517241379315</v>
      </c>
      <c r="AA936" s="8">
        <f t="shared" si="299"/>
        <v>44927</v>
      </c>
      <c r="AB936" s="8">
        <f t="shared" si="300"/>
        <v>45291</v>
      </c>
      <c r="AC936" s="1">
        <v>5</v>
      </c>
      <c r="AD936" s="1">
        <f t="shared" si="301"/>
        <v>0</v>
      </c>
      <c r="AE936" s="1">
        <f t="shared" si="302"/>
        <v>0</v>
      </c>
      <c r="AF936" s="1">
        <f t="shared" si="303"/>
        <v>0</v>
      </c>
      <c r="AG936" s="1">
        <f t="shared" si="304"/>
        <v>0</v>
      </c>
      <c r="AH936" s="1">
        <f t="shared" si="305"/>
        <v>182.5</v>
      </c>
      <c r="AI936" s="5">
        <f t="shared" si="306"/>
        <v>0.5</v>
      </c>
      <c r="AJ936" s="5">
        <f t="shared" si="307"/>
        <v>0.15732758620689657</v>
      </c>
      <c r="AK936" s="5">
        <f t="shared" si="308"/>
        <v>0</v>
      </c>
      <c r="AL936" s="5">
        <f t="shared" si="309"/>
        <v>0</v>
      </c>
      <c r="AM936" s="5">
        <f t="shared" si="310"/>
        <v>0</v>
      </c>
      <c r="AN936" s="5">
        <f t="shared" si="311"/>
        <v>0</v>
      </c>
      <c r="AO936" s="1" t="s">
        <v>102</v>
      </c>
    </row>
    <row r="937" spans="1:41" x14ac:dyDescent="0.25">
      <c r="A937" s="1" t="s">
        <v>19</v>
      </c>
      <c r="B937" s="1" t="s">
        <v>46</v>
      </c>
      <c r="C937" s="1" t="s">
        <v>21</v>
      </c>
      <c r="D937" s="1" t="s">
        <v>47</v>
      </c>
      <c r="E937" s="1" t="s">
        <v>96</v>
      </c>
      <c r="F937" s="1" t="s">
        <v>103</v>
      </c>
      <c r="G937" s="1" t="s">
        <v>127</v>
      </c>
      <c r="H937" s="1" t="s">
        <v>1084</v>
      </c>
      <c r="I937" s="1" t="s">
        <v>100</v>
      </c>
      <c r="J937" s="1" t="s">
        <v>101</v>
      </c>
      <c r="L937" s="1">
        <v>2158172</v>
      </c>
      <c r="M937" s="1" t="s">
        <v>1089</v>
      </c>
      <c r="N937" s="8">
        <f>DATE(2017,2,13)</f>
        <v>42779</v>
      </c>
      <c r="O937" s="8">
        <f>DATE(2019,12,20)</f>
        <v>43819</v>
      </c>
      <c r="P937" s="1">
        <v>1956</v>
      </c>
      <c r="Q937" s="1">
        <v>1600</v>
      </c>
      <c r="R937" s="1">
        <f t="shared" si="294"/>
        <v>1600</v>
      </c>
      <c r="S937" s="1">
        <v>1</v>
      </c>
      <c r="U937" s="1">
        <f t="shared" si="295"/>
        <v>1041</v>
      </c>
      <c r="V937" s="7">
        <f t="shared" si="296"/>
        <v>1.5369836695485111</v>
      </c>
      <c r="W937" s="7">
        <f t="shared" si="297"/>
        <v>560.99903938520652</v>
      </c>
      <c r="X937" s="7">
        <f t="shared" si="298"/>
        <v>0.70124879923150818</v>
      </c>
      <c r="AA937" s="8">
        <f t="shared" si="299"/>
        <v>44927</v>
      </c>
      <c r="AB937" s="8">
        <f t="shared" si="300"/>
        <v>45291</v>
      </c>
      <c r="AC937" s="1">
        <v>2</v>
      </c>
      <c r="AD937" s="1">
        <f t="shared" si="301"/>
        <v>0</v>
      </c>
      <c r="AE937" s="1">
        <f t="shared" si="302"/>
        <v>0</v>
      </c>
      <c r="AF937" s="1">
        <f t="shared" si="303"/>
        <v>0</v>
      </c>
      <c r="AG937" s="1">
        <f t="shared" si="304"/>
        <v>0</v>
      </c>
      <c r="AH937" s="1">
        <f t="shared" si="305"/>
        <v>182.5</v>
      </c>
      <c r="AI937" s="5">
        <f t="shared" si="306"/>
        <v>0.5</v>
      </c>
      <c r="AJ937" s="5">
        <f t="shared" si="307"/>
        <v>0.35062439961575409</v>
      </c>
      <c r="AK937" s="5">
        <f t="shared" si="308"/>
        <v>0</v>
      </c>
      <c r="AL937" s="5">
        <f t="shared" si="309"/>
        <v>0</v>
      </c>
      <c r="AM937" s="5">
        <f t="shared" si="310"/>
        <v>0</v>
      </c>
      <c r="AN937" s="5">
        <f t="shared" si="311"/>
        <v>0</v>
      </c>
      <c r="AO937" s="1" t="s">
        <v>102</v>
      </c>
    </row>
    <row r="938" spans="1:41" x14ac:dyDescent="0.25">
      <c r="A938" s="1" t="s">
        <v>19</v>
      </c>
      <c r="B938" s="1" t="s">
        <v>46</v>
      </c>
      <c r="C938" s="1" t="s">
        <v>21</v>
      </c>
      <c r="D938" s="1" t="s">
        <v>47</v>
      </c>
      <c r="E938" s="1" t="s">
        <v>96</v>
      </c>
      <c r="F938" s="1" t="s">
        <v>103</v>
      </c>
      <c r="G938" s="1" t="s">
        <v>127</v>
      </c>
      <c r="H938" s="1" t="s">
        <v>1090</v>
      </c>
      <c r="I938" s="1" t="s">
        <v>210</v>
      </c>
      <c r="J938" s="1" t="s">
        <v>101</v>
      </c>
      <c r="L938" s="1">
        <v>2158188</v>
      </c>
      <c r="M938" s="1" t="s">
        <v>1091</v>
      </c>
      <c r="N938" s="8">
        <f>DATE(2017,2,13)</f>
        <v>42779</v>
      </c>
      <c r="O938" s="8">
        <f>DATE(2020,7,17)</f>
        <v>44029</v>
      </c>
      <c r="P938" s="1">
        <v>2480</v>
      </c>
      <c r="Q938" s="1">
        <v>2400</v>
      </c>
      <c r="R938" s="1">
        <f t="shared" si="294"/>
        <v>2400</v>
      </c>
      <c r="S938" s="1">
        <v>2.5</v>
      </c>
      <c r="U938" s="1">
        <f t="shared" si="295"/>
        <v>1251</v>
      </c>
      <c r="V938" s="7">
        <f t="shared" si="296"/>
        <v>1.9184652278177459</v>
      </c>
      <c r="W938" s="7">
        <f t="shared" si="297"/>
        <v>700.23980815347727</v>
      </c>
      <c r="X938" s="7">
        <f t="shared" si="298"/>
        <v>0.87529976019184663</v>
      </c>
      <c r="AA938" s="8">
        <f t="shared" si="299"/>
        <v>44927</v>
      </c>
      <c r="AB938" s="8">
        <f t="shared" si="300"/>
        <v>45291</v>
      </c>
      <c r="AC938" s="1">
        <v>2</v>
      </c>
      <c r="AD938" s="1">
        <f t="shared" si="301"/>
        <v>0</v>
      </c>
      <c r="AE938" s="1">
        <f t="shared" si="302"/>
        <v>0</v>
      </c>
      <c r="AF938" s="1">
        <f t="shared" si="303"/>
        <v>0</v>
      </c>
      <c r="AG938" s="1">
        <f t="shared" si="304"/>
        <v>0</v>
      </c>
      <c r="AH938" s="1">
        <f t="shared" si="305"/>
        <v>182.5</v>
      </c>
      <c r="AI938" s="5">
        <f t="shared" si="306"/>
        <v>0.5</v>
      </c>
      <c r="AJ938" s="5">
        <f t="shared" si="307"/>
        <v>0.43764988009592332</v>
      </c>
      <c r="AK938" s="5">
        <f t="shared" si="308"/>
        <v>0.43764988009592332</v>
      </c>
      <c r="AL938" s="5">
        <f t="shared" si="309"/>
        <v>1.0941247002398082</v>
      </c>
      <c r="AM938" s="5">
        <f t="shared" si="310"/>
        <v>0</v>
      </c>
      <c r="AN938" s="5">
        <f t="shared" si="311"/>
        <v>1.0941247002398082</v>
      </c>
      <c r="AO938" s="1" t="s">
        <v>102</v>
      </c>
    </row>
    <row r="939" spans="1:41" x14ac:dyDescent="0.25">
      <c r="A939" s="1" t="s">
        <v>19</v>
      </c>
      <c r="B939" s="1" t="s">
        <v>46</v>
      </c>
      <c r="C939" s="1" t="s">
        <v>21</v>
      </c>
      <c r="D939" s="1" t="s">
        <v>47</v>
      </c>
      <c r="E939" s="1" t="s">
        <v>96</v>
      </c>
      <c r="F939" s="1" t="s">
        <v>103</v>
      </c>
      <c r="G939" s="1" t="s">
        <v>320</v>
      </c>
      <c r="H939" s="1" t="s">
        <v>451</v>
      </c>
      <c r="I939" s="1" t="s">
        <v>174</v>
      </c>
      <c r="J939" s="1" t="s">
        <v>101</v>
      </c>
      <c r="L939" s="1">
        <v>2158205</v>
      </c>
      <c r="M939" s="1" t="s">
        <v>1092</v>
      </c>
      <c r="N939" s="8">
        <f>DATE(2017,2,13)</f>
        <v>42779</v>
      </c>
      <c r="O939" s="8">
        <f>DATE(2020,12,18)</f>
        <v>44183</v>
      </c>
      <c r="P939" s="1">
        <v>2980</v>
      </c>
      <c r="Q939" s="1">
        <v>3200</v>
      </c>
      <c r="R939" s="1">
        <f t="shared" si="294"/>
        <v>3200</v>
      </c>
      <c r="S939" s="1">
        <v>2.5</v>
      </c>
      <c r="U939" s="1">
        <f t="shared" si="295"/>
        <v>1405</v>
      </c>
      <c r="V939" s="7">
        <f t="shared" si="296"/>
        <v>2.1209964412811386</v>
      </c>
      <c r="W939" s="7">
        <f t="shared" si="297"/>
        <v>774.16370106761565</v>
      </c>
      <c r="X939" s="7">
        <f t="shared" si="298"/>
        <v>0.96770462633451959</v>
      </c>
      <c r="AA939" s="8">
        <f t="shared" si="299"/>
        <v>44927</v>
      </c>
      <c r="AB939" s="8">
        <f t="shared" si="300"/>
        <v>45291</v>
      </c>
      <c r="AC939" s="1">
        <v>7</v>
      </c>
      <c r="AD939" s="1">
        <f t="shared" si="301"/>
        <v>0</v>
      </c>
      <c r="AE939" s="1">
        <f t="shared" si="302"/>
        <v>0</v>
      </c>
      <c r="AF939" s="1">
        <f t="shared" si="303"/>
        <v>0</v>
      </c>
      <c r="AG939" s="1">
        <f t="shared" si="304"/>
        <v>0</v>
      </c>
      <c r="AH939" s="1">
        <f t="shared" si="305"/>
        <v>182.5</v>
      </c>
      <c r="AI939" s="5">
        <f t="shared" si="306"/>
        <v>0.5</v>
      </c>
      <c r="AJ939" s="5">
        <f t="shared" si="307"/>
        <v>0.4838523131672598</v>
      </c>
      <c r="AK939" s="5">
        <f t="shared" si="308"/>
        <v>1.6934830960854093</v>
      </c>
      <c r="AL939" s="5">
        <f t="shared" si="309"/>
        <v>4.2337077402135233</v>
      </c>
      <c r="AM939" s="5">
        <f t="shared" si="310"/>
        <v>0</v>
      </c>
      <c r="AN939" s="5">
        <f t="shared" si="311"/>
        <v>4.2337077402135233</v>
      </c>
      <c r="AO939" s="1" t="s">
        <v>102</v>
      </c>
    </row>
    <row r="940" spans="1:41" x14ac:dyDescent="0.25">
      <c r="A940" s="1" t="s">
        <v>19</v>
      </c>
      <c r="B940" s="1" t="s">
        <v>46</v>
      </c>
      <c r="C940" s="1" t="s">
        <v>21</v>
      </c>
      <c r="D940" s="1" t="s">
        <v>47</v>
      </c>
      <c r="E940" s="1" t="s">
        <v>96</v>
      </c>
      <c r="F940" s="1" t="s">
        <v>103</v>
      </c>
      <c r="G940" s="1" t="s">
        <v>127</v>
      </c>
      <c r="H940" s="1" t="s">
        <v>1084</v>
      </c>
      <c r="I940" s="1" t="s">
        <v>100</v>
      </c>
      <c r="J940" s="1" t="s">
        <v>101</v>
      </c>
      <c r="L940" s="1">
        <v>2488225</v>
      </c>
      <c r="M940" s="1" t="s">
        <v>1093</v>
      </c>
      <c r="N940" s="8">
        <f>DATE(2018,2,5)</f>
        <v>43136</v>
      </c>
      <c r="O940" s="8">
        <f>DATE(2020,12,18)</f>
        <v>44183</v>
      </c>
      <c r="P940" s="1">
        <v>1956</v>
      </c>
      <c r="Q940" s="1">
        <v>1600</v>
      </c>
      <c r="R940" s="1">
        <f t="shared" si="294"/>
        <v>1600</v>
      </c>
      <c r="S940" s="1">
        <v>1</v>
      </c>
      <c r="U940" s="1">
        <f t="shared" si="295"/>
        <v>1048</v>
      </c>
      <c r="V940" s="7">
        <f t="shared" si="296"/>
        <v>1.5267175572519085</v>
      </c>
      <c r="W940" s="7">
        <f t="shared" si="297"/>
        <v>557.25190839694665</v>
      </c>
      <c r="X940" s="7">
        <f t="shared" si="298"/>
        <v>0.69656488549618334</v>
      </c>
      <c r="AA940" s="8">
        <f t="shared" si="299"/>
        <v>44927</v>
      </c>
      <c r="AB940" s="8">
        <f t="shared" si="300"/>
        <v>45291</v>
      </c>
      <c r="AC940" s="1">
        <v>5</v>
      </c>
      <c r="AD940" s="1">
        <f t="shared" si="301"/>
        <v>0</v>
      </c>
      <c r="AE940" s="1">
        <f t="shared" si="302"/>
        <v>0</v>
      </c>
      <c r="AF940" s="1">
        <f t="shared" si="303"/>
        <v>0</v>
      </c>
      <c r="AG940" s="1">
        <f t="shared" si="304"/>
        <v>0</v>
      </c>
      <c r="AH940" s="1">
        <f t="shared" si="305"/>
        <v>182.5</v>
      </c>
      <c r="AI940" s="5">
        <f t="shared" si="306"/>
        <v>0.5</v>
      </c>
      <c r="AJ940" s="5">
        <f t="shared" si="307"/>
        <v>0.34828244274809167</v>
      </c>
      <c r="AK940" s="5">
        <f t="shared" si="308"/>
        <v>0.8707061068702292</v>
      </c>
      <c r="AL940" s="5">
        <f t="shared" si="309"/>
        <v>0.8707061068702292</v>
      </c>
      <c r="AM940" s="5">
        <f t="shared" si="310"/>
        <v>0</v>
      </c>
      <c r="AN940" s="5">
        <f t="shared" si="311"/>
        <v>0.8707061068702292</v>
      </c>
      <c r="AO940" s="1" t="s">
        <v>102</v>
      </c>
    </row>
    <row r="941" spans="1:41" x14ac:dyDescent="0.25">
      <c r="A941" s="1" t="s">
        <v>19</v>
      </c>
      <c r="B941" s="1" t="s">
        <v>46</v>
      </c>
      <c r="C941" s="1" t="s">
        <v>21</v>
      </c>
      <c r="D941" s="1" t="s">
        <v>47</v>
      </c>
      <c r="E941" s="1" t="s">
        <v>96</v>
      </c>
      <c r="F941" s="1" t="s">
        <v>103</v>
      </c>
      <c r="G941" s="1" t="s">
        <v>127</v>
      </c>
      <c r="H941" s="1" t="s">
        <v>1090</v>
      </c>
      <c r="I941" s="1" t="s">
        <v>210</v>
      </c>
      <c r="J941" s="1" t="s">
        <v>101</v>
      </c>
      <c r="L941" s="1">
        <v>2488482</v>
      </c>
      <c r="M941" s="1" t="s">
        <v>1094</v>
      </c>
      <c r="N941" s="8">
        <f>DATE(2018,2,5)</f>
        <v>43136</v>
      </c>
      <c r="O941" s="8">
        <f>DATE(2021,7,9)</f>
        <v>44386</v>
      </c>
      <c r="P941" s="1">
        <v>2480</v>
      </c>
      <c r="Q941" s="1">
        <v>2400</v>
      </c>
      <c r="R941" s="1">
        <f t="shared" si="294"/>
        <v>2400</v>
      </c>
      <c r="S941" s="1">
        <v>2.5</v>
      </c>
      <c r="U941" s="1">
        <f t="shared" si="295"/>
        <v>1251</v>
      </c>
      <c r="V941" s="7">
        <f t="shared" si="296"/>
        <v>1.9184652278177459</v>
      </c>
      <c r="W941" s="7">
        <f t="shared" si="297"/>
        <v>700.23980815347727</v>
      </c>
      <c r="X941" s="7">
        <f t="shared" si="298"/>
        <v>0.87529976019184663</v>
      </c>
      <c r="AA941" s="8">
        <f t="shared" si="299"/>
        <v>44927</v>
      </c>
      <c r="AB941" s="8">
        <f t="shared" si="300"/>
        <v>45291</v>
      </c>
      <c r="AC941" s="1">
        <v>2</v>
      </c>
      <c r="AD941" s="1">
        <f t="shared" si="301"/>
        <v>0</v>
      </c>
      <c r="AE941" s="1">
        <f t="shared" si="302"/>
        <v>0</v>
      </c>
      <c r="AF941" s="1">
        <f t="shared" si="303"/>
        <v>0</v>
      </c>
      <c r="AG941" s="1">
        <f t="shared" si="304"/>
        <v>0</v>
      </c>
      <c r="AH941" s="1">
        <f t="shared" si="305"/>
        <v>182.5</v>
      </c>
      <c r="AI941" s="5">
        <f t="shared" si="306"/>
        <v>0.5</v>
      </c>
      <c r="AJ941" s="5">
        <f t="shared" si="307"/>
        <v>0.43764988009592332</v>
      </c>
      <c r="AK941" s="5">
        <f t="shared" si="308"/>
        <v>0.43764988009592332</v>
      </c>
      <c r="AL941" s="5">
        <f t="shared" si="309"/>
        <v>1.0941247002398082</v>
      </c>
      <c r="AM941" s="5">
        <f t="shared" si="310"/>
        <v>0</v>
      </c>
      <c r="AN941" s="5">
        <f t="shared" si="311"/>
        <v>1.0941247002398082</v>
      </c>
      <c r="AO941" s="1" t="s">
        <v>102</v>
      </c>
    </row>
    <row r="942" spans="1:41" x14ac:dyDescent="0.25">
      <c r="A942" s="1" t="s">
        <v>19</v>
      </c>
      <c r="B942" s="1" t="s">
        <v>46</v>
      </c>
      <c r="C942" s="1" t="s">
        <v>21</v>
      </c>
      <c r="D942" s="1" t="s">
        <v>47</v>
      </c>
      <c r="E942" s="1" t="s">
        <v>96</v>
      </c>
      <c r="F942" s="1" t="s">
        <v>103</v>
      </c>
      <c r="G942" s="1" t="s">
        <v>320</v>
      </c>
      <c r="H942" s="1" t="s">
        <v>451</v>
      </c>
      <c r="I942" s="1" t="s">
        <v>174</v>
      </c>
      <c r="J942" s="1" t="s">
        <v>101</v>
      </c>
      <c r="L942" s="1">
        <v>2488487</v>
      </c>
      <c r="M942" s="1" t="s">
        <v>1095</v>
      </c>
      <c r="N942" s="8">
        <f>DATE(2018,2,5)</f>
        <v>43136</v>
      </c>
      <c r="O942" s="8">
        <f>DATE(2021,12,17)</f>
        <v>44547</v>
      </c>
      <c r="P942" s="1">
        <v>2980</v>
      </c>
      <c r="Q942" s="1">
        <v>3200</v>
      </c>
      <c r="R942" s="1">
        <f t="shared" si="294"/>
        <v>3200</v>
      </c>
      <c r="S942" s="1">
        <v>2.5</v>
      </c>
      <c r="U942" s="1">
        <f t="shared" si="295"/>
        <v>1412</v>
      </c>
      <c r="V942" s="7">
        <f t="shared" si="296"/>
        <v>2.1104815864022664</v>
      </c>
      <c r="W942" s="7">
        <f t="shared" si="297"/>
        <v>770.32577903682727</v>
      </c>
      <c r="X942" s="7">
        <f t="shared" si="298"/>
        <v>0.96290722379603411</v>
      </c>
      <c r="AA942" s="8">
        <f t="shared" si="299"/>
        <v>44927</v>
      </c>
      <c r="AB942" s="8">
        <f t="shared" si="300"/>
        <v>45291</v>
      </c>
      <c r="AC942" s="1">
        <v>6</v>
      </c>
      <c r="AD942" s="1">
        <f t="shared" si="301"/>
        <v>0</v>
      </c>
      <c r="AE942" s="1">
        <f t="shared" si="302"/>
        <v>0</v>
      </c>
      <c r="AF942" s="1">
        <f t="shared" si="303"/>
        <v>0</v>
      </c>
      <c r="AG942" s="1">
        <f t="shared" si="304"/>
        <v>0</v>
      </c>
      <c r="AH942" s="1">
        <f t="shared" si="305"/>
        <v>182.5</v>
      </c>
      <c r="AI942" s="5">
        <f t="shared" si="306"/>
        <v>0.5</v>
      </c>
      <c r="AJ942" s="5">
        <f t="shared" si="307"/>
        <v>0.48145361189801705</v>
      </c>
      <c r="AK942" s="5">
        <f t="shared" si="308"/>
        <v>1.4443608356940512</v>
      </c>
      <c r="AL942" s="5">
        <f t="shared" si="309"/>
        <v>3.610902089235128</v>
      </c>
      <c r="AM942" s="5">
        <f t="shared" si="310"/>
        <v>0</v>
      </c>
      <c r="AN942" s="5">
        <f t="shared" si="311"/>
        <v>3.610902089235128</v>
      </c>
      <c r="AO942" s="1" t="s">
        <v>102</v>
      </c>
    </row>
    <row r="943" spans="1:41" x14ac:dyDescent="0.25">
      <c r="A943" s="1" t="s">
        <v>19</v>
      </c>
      <c r="B943" s="1" t="s">
        <v>46</v>
      </c>
      <c r="C943" s="1" t="s">
        <v>21</v>
      </c>
      <c r="D943" s="1" t="s">
        <v>47</v>
      </c>
      <c r="E943" s="1" t="s">
        <v>96</v>
      </c>
      <c r="F943" s="1" t="s">
        <v>103</v>
      </c>
      <c r="G943" s="1" t="s">
        <v>114</v>
      </c>
      <c r="H943" s="1" t="s">
        <v>247</v>
      </c>
      <c r="I943" s="1" t="s">
        <v>162</v>
      </c>
      <c r="J943" s="1" t="s">
        <v>101</v>
      </c>
      <c r="K943" s="1" t="s">
        <v>116</v>
      </c>
      <c r="L943" s="1">
        <v>2584519</v>
      </c>
      <c r="M943" s="1" t="s">
        <v>1096</v>
      </c>
      <c r="N943" s="8">
        <f t="shared" ref="N943:N948" si="315">DATE(2019,2,4)</f>
        <v>43500</v>
      </c>
      <c r="O943" s="8">
        <f>DATE(2021,12,17)</f>
        <v>44547</v>
      </c>
      <c r="P943" s="1">
        <v>3560</v>
      </c>
      <c r="Q943" s="1">
        <v>1200</v>
      </c>
      <c r="R943" s="1">
        <f t="shared" si="294"/>
        <v>3200</v>
      </c>
      <c r="S943" s="1">
        <v>1.5</v>
      </c>
      <c r="U943" s="1">
        <f t="shared" si="295"/>
        <v>1048</v>
      </c>
      <c r="V943" s="7">
        <f t="shared" si="296"/>
        <v>3.053435114503817</v>
      </c>
      <c r="W943" s="7">
        <f t="shared" si="297"/>
        <v>1114.5038167938933</v>
      </c>
      <c r="X943" s="7">
        <f t="shared" si="298"/>
        <v>1.3931297709923667</v>
      </c>
      <c r="AA943" s="8">
        <f t="shared" si="299"/>
        <v>44927</v>
      </c>
      <c r="AB943" s="8">
        <f t="shared" si="300"/>
        <v>45291</v>
      </c>
      <c r="AC943" s="1">
        <v>3</v>
      </c>
      <c r="AD943" s="1">
        <f t="shared" si="301"/>
        <v>0</v>
      </c>
      <c r="AE943" s="1">
        <f t="shared" si="302"/>
        <v>0</v>
      </c>
      <c r="AF943" s="1">
        <f t="shared" si="303"/>
        <v>0</v>
      </c>
      <c r="AG943" s="1">
        <f t="shared" si="304"/>
        <v>0</v>
      </c>
      <c r="AH943" s="1">
        <f t="shared" si="305"/>
        <v>182.5</v>
      </c>
      <c r="AI943" s="5">
        <f t="shared" si="306"/>
        <v>0.5</v>
      </c>
      <c r="AJ943" s="5">
        <f t="shared" si="307"/>
        <v>0.69656488549618334</v>
      </c>
      <c r="AK943" s="5">
        <f t="shared" si="308"/>
        <v>1.044847328244275</v>
      </c>
      <c r="AL943" s="5">
        <f t="shared" si="309"/>
        <v>1.5672709923664123</v>
      </c>
      <c r="AM943" s="5">
        <f t="shared" si="310"/>
        <v>0</v>
      </c>
      <c r="AN943" s="5">
        <f t="shared" si="311"/>
        <v>1.5672709923664123</v>
      </c>
      <c r="AO943" s="1" t="s">
        <v>102</v>
      </c>
    </row>
    <row r="944" spans="1:41" x14ac:dyDescent="0.25">
      <c r="A944" s="1" t="s">
        <v>19</v>
      </c>
      <c r="B944" s="1" t="s">
        <v>46</v>
      </c>
      <c r="C944" s="1" t="s">
        <v>21</v>
      </c>
      <c r="D944" s="1" t="s">
        <v>47</v>
      </c>
      <c r="E944" s="1" t="s">
        <v>96</v>
      </c>
      <c r="F944" s="1" t="s">
        <v>103</v>
      </c>
      <c r="G944" s="1" t="s">
        <v>114</v>
      </c>
      <c r="H944" s="1" t="s">
        <v>257</v>
      </c>
      <c r="I944" s="1" t="s">
        <v>157</v>
      </c>
      <c r="J944" s="1" t="s">
        <v>101</v>
      </c>
      <c r="K944" s="1" t="s">
        <v>116</v>
      </c>
      <c r="L944" s="1">
        <v>2584524</v>
      </c>
      <c r="M944" s="1" t="s">
        <v>1097</v>
      </c>
      <c r="N944" s="8">
        <f t="shared" si="315"/>
        <v>43500</v>
      </c>
      <c r="O944" s="8">
        <f>DATE(2021,12,17)</f>
        <v>44547</v>
      </c>
      <c r="P944" s="1">
        <v>3400</v>
      </c>
      <c r="Q944" s="1">
        <v>1200</v>
      </c>
      <c r="R944" s="1">
        <f t="shared" si="294"/>
        <v>3200</v>
      </c>
      <c r="S944" s="1">
        <v>2.5</v>
      </c>
      <c r="U944" s="1">
        <f t="shared" si="295"/>
        <v>1048</v>
      </c>
      <c r="V944" s="7">
        <f t="shared" si="296"/>
        <v>3.053435114503817</v>
      </c>
      <c r="W944" s="7">
        <f t="shared" si="297"/>
        <v>1114.5038167938933</v>
      </c>
      <c r="X944" s="7">
        <f t="shared" si="298"/>
        <v>1.3931297709923667</v>
      </c>
      <c r="AA944" s="8">
        <f t="shared" si="299"/>
        <v>44927</v>
      </c>
      <c r="AB944" s="8">
        <f t="shared" si="300"/>
        <v>45291</v>
      </c>
      <c r="AC944" s="1">
        <v>1</v>
      </c>
      <c r="AD944" s="1">
        <f t="shared" si="301"/>
        <v>0</v>
      </c>
      <c r="AE944" s="1">
        <f t="shared" si="302"/>
        <v>0</v>
      </c>
      <c r="AF944" s="1">
        <f t="shared" si="303"/>
        <v>0</v>
      </c>
      <c r="AG944" s="1">
        <f t="shared" si="304"/>
        <v>0</v>
      </c>
      <c r="AH944" s="1">
        <f t="shared" si="305"/>
        <v>182.5</v>
      </c>
      <c r="AI944" s="5">
        <f t="shared" si="306"/>
        <v>0.5</v>
      </c>
      <c r="AJ944" s="5">
        <f t="shared" si="307"/>
        <v>0.69656488549618334</v>
      </c>
      <c r="AK944" s="5">
        <f t="shared" si="308"/>
        <v>0.34828244274809167</v>
      </c>
      <c r="AL944" s="5">
        <f t="shared" si="309"/>
        <v>0.8707061068702292</v>
      </c>
      <c r="AM944" s="5">
        <f t="shared" si="310"/>
        <v>0</v>
      </c>
      <c r="AN944" s="5">
        <f t="shared" si="311"/>
        <v>0.8707061068702292</v>
      </c>
      <c r="AO944" s="1" t="s">
        <v>102</v>
      </c>
    </row>
    <row r="945" spans="1:41" x14ac:dyDescent="0.25">
      <c r="A945" s="1" t="s">
        <v>19</v>
      </c>
      <c r="B945" s="1" t="s">
        <v>46</v>
      </c>
      <c r="C945" s="1" t="s">
        <v>21</v>
      </c>
      <c r="D945" s="1" t="s">
        <v>47</v>
      </c>
      <c r="E945" s="1" t="s">
        <v>96</v>
      </c>
      <c r="F945" s="1" t="s">
        <v>103</v>
      </c>
      <c r="G945" s="1" t="s">
        <v>127</v>
      </c>
      <c r="H945" s="1" t="s">
        <v>518</v>
      </c>
      <c r="I945" s="1" t="s">
        <v>162</v>
      </c>
      <c r="J945" s="1" t="s">
        <v>101</v>
      </c>
      <c r="L945" s="1">
        <v>2584543</v>
      </c>
      <c r="M945" s="1" t="s">
        <v>1098</v>
      </c>
      <c r="N945" s="8">
        <f t="shared" si="315"/>
        <v>43500</v>
      </c>
      <c r="O945" s="8">
        <f>DATE(2021,12,17)</f>
        <v>44547</v>
      </c>
      <c r="P945" s="1">
        <v>2210</v>
      </c>
      <c r="Q945" s="1">
        <v>2000</v>
      </c>
      <c r="R945" s="1">
        <f t="shared" si="294"/>
        <v>2000</v>
      </c>
      <c r="S945" s="1">
        <v>1.5</v>
      </c>
      <c r="U945" s="1">
        <f t="shared" si="295"/>
        <v>1048</v>
      </c>
      <c r="V945" s="7">
        <f t="shared" si="296"/>
        <v>1.9083969465648856</v>
      </c>
      <c r="W945" s="7">
        <f t="shared" si="297"/>
        <v>696.56488549618325</v>
      </c>
      <c r="X945" s="7">
        <f t="shared" si="298"/>
        <v>0.87070610687022909</v>
      </c>
      <c r="AA945" s="8">
        <f t="shared" si="299"/>
        <v>44927</v>
      </c>
      <c r="AB945" s="8">
        <f t="shared" si="300"/>
        <v>45291</v>
      </c>
      <c r="AC945" s="1">
        <v>6</v>
      </c>
      <c r="AD945" s="1">
        <f t="shared" si="301"/>
        <v>0</v>
      </c>
      <c r="AE945" s="1">
        <f t="shared" si="302"/>
        <v>0</v>
      </c>
      <c r="AF945" s="1">
        <f t="shared" si="303"/>
        <v>0</v>
      </c>
      <c r="AG945" s="1">
        <f t="shared" si="304"/>
        <v>0</v>
      </c>
      <c r="AH945" s="1">
        <f t="shared" si="305"/>
        <v>182.5</v>
      </c>
      <c r="AI945" s="5">
        <f t="shared" si="306"/>
        <v>0.5</v>
      </c>
      <c r="AJ945" s="5">
        <f t="shared" si="307"/>
        <v>0.43535305343511455</v>
      </c>
      <c r="AK945" s="5">
        <f t="shared" si="308"/>
        <v>1.3060591603053435</v>
      </c>
      <c r="AL945" s="5">
        <f t="shared" si="309"/>
        <v>1.9590887404580153</v>
      </c>
      <c r="AM945" s="5">
        <f t="shared" si="310"/>
        <v>0</v>
      </c>
      <c r="AN945" s="5">
        <f t="shared" si="311"/>
        <v>1.9590887404580153</v>
      </c>
      <c r="AO945" s="1" t="s">
        <v>102</v>
      </c>
    </row>
    <row r="946" spans="1:41" x14ac:dyDescent="0.25">
      <c r="A946" s="1" t="s">
        <v>19</v>
      </c>
      <c r="B946" s="1" t="s">
        <v>46</v>
      </c>
      <c r="C946" s="1" t="s">
        <v>21</v>
      </c>
      <c r="D946" s="1" t="s">
        <v>47</v>
      </c>
      <c r="E946" s="1" t="s">
        <v>96</v>
      </c>
      <c r="F946" s="1" t="s">
        <v>103</v>
      </c>
      <c r="G946" s="1" t="s">
        <v>127</v>
      </c>
      <c r="H946" s="1" t="s">
        <v>1084</v>
      </c>
      <c r="I946" s="1" t="s">
        <v>100</v>
      </c>
      <c r="J946" s="1" t="s">
        <v>101</v>
      </c>
      <c r="L946" s="1">
        <v>2584546</v>
      </c>
      <c r="M946" s="1" t="s">
        <v>1099</v>
      </c>
      <c r="N946" s="8">
        <f t="shared" si="315"/>
        <v>43500</v>
      </c>
      <c r="O946" s="8">
        <f>DATE(2021,12,17)</f>
        <v>44547</v>
      </c>
      <c r="P946" s="1">
        <v>1956</v>
      </c>
      <c r="Q946" s="1">
        <v>1600</v>
      </c>
      <c r="R946" s="1">
        <f t="shared" si="294"/>
        <v>1600</v>
      </c>
      <c r="S946" s="1">
        <v>1</v>
      </c>
      <c r="U946" s="1">
        <f t="shared" si="295"/>
        <v>1048</v>
      </c>
      <c r="V946" s="7">
        <f t="shared" si="296"/>
        <v>1.5267175572519085</v>
      </c>
      <c r="W946" s="7">
        <f t="shared" si="297"/>
        <v>557.25190839694665</v>
      </c>
      <c r="X946" s="7">
        <f t="shared" si="298"/>
        <v>0.69656488549618334</v>
      </c>
      <c r="AA946" s="8">
        <f t="shared" si="299"/>
        <v>44927</v>
      </c>
      <c r="AB946" s="8">
        <f t="shared" si="300"/>
        <v>45291</v>
      </c>
      <c r="AC946" s="1">
        <v>3</v>
      </c>
      <c r="AD946" s="1">
        <f t="shared" si="301"/>
        <v>0</v>
      </c>
      <c r="AE946" s="1">
        <f t="shared" si="302"/>
        <v>0</v>
      </c>
      <c r="AF946" s="1">
        <f t="shared" si="303"/>
        <v>0</v>
      </c>
      <c r="AG946" s="1">
        <f t="shared" si="304"/>
        <v>0</v>
      </c>
      <c r="AH946" s="1">
        <f t="shared" si="305"/>
        <v>182.5</v>
      </c>
      <c r="AI946" s="5">
        <f t="shared" si="306"/>
        <v>0.5</v>
      </c>
      <c r="AJ946" s="5">
        <f t="shared" si="307"/>
        <v>0.34828244274809167</v>
      </c>
      <c r="AK946" s="5">
        <f t="shared" si="308"/>
        <v>0.52242366412213748</v>
      </c>
      <c r="AL946" s="5">
        <f t="shared" si="309"/>
        <v>0.52242366412213748</v>
      </c>
      <c r="AM946" s="5">
        <f t="shared" si="310"/>
        <v>0</v>
      </c>
      <c r="AN946" s="5">
        <f t="shared" si="311"/>
        <v>0.52242366412213748</v>
      </c>
      <c r="AO946" s="1" t="s">
        <v>102</v>
      </c>
    </row>
    <row r="947" spans="1:41" x14ac:dyDescent="0.25">
      <c r="A947" s="1" t="s">
        <v>19</v>
      </c>
      <c r="B947" s="1" t="s">
        <v>46</v>
      </c>
      <c r="C947" s="1" t="s">
        <v>21</v>
      </c>
      <c r="D947" s="1" t="s">
        <v>47</v>
      </c>
      <c r="E947" s="1" t="s">
        <v>96</v>
      </c>
      <c r="F947" s="1" t="s">
        <v>103</v>
      </c>
      <c r="G947" s="1" t="s">
        <v>127</v>
      </c>
      <c r="H947" s="1" t="s">
        <v>1090</v>
      </c>
      <c r="I947" s="1" t="s">
        <v>210</v>
      </c>
      <c r="J947" s="1" t="s">
        <v>101</v>
      </c>
      <c r="L947" s="1">
        <v>2584548</v>
      </c>
      <c r="M947" s="1" t="s">
        <v>1100</v>
      </c>
      <c r="N947" s="8">
        <f t="shared" si="315"/>
        <v>43500</v>
      </c>
      <c r="O947" s="8">
        <f>DATE(2022,7,15)</f>
        <v>44757</v>
      </c>
      <c r="P947" s="1">
        <v>2480</v>
      </c>
      <c r="Q947" s="1">
        <v>2400</v>
      </c>
      <c r="R947" s="1">
        <f t="shared" si="294"/>
        <v>2400</v>
      </c>
      <c r="S947" s="1">
        <v>2.5</v>
      </c>
      <c r="U947" s="1">
        <f t="shared" si="295"/>
        <v>1258</v>
      </c>
      <c r="V947" s="7">
        <f t="shared" si="296"/>
        <v>1.9077901430842608</v>
      </c>
      <c r="W947" s="7">
        <f t="shared" si="297"/>
        <v>696.3434022257552</v>
      </c>
      <c r="X947" s="7">
        <f t="shared" si="298"/>
        <v>0.87042925278219396</v>
      </c>
      <c r="AA947" s="8">
        <f t="shared" si="299"/>
        <v>44927</v>
      </c>
      <c r="AB947" s="8">
        <f t="shared" si="300"/>
        <v>45291</v>
      </c>
      <c r="AC947" s="1">
        <v>3</v>
      </c>
      <c r="AD947" s="1">
        <f t="shared" si="301"/>
        <v>0</v>
      </c>
      <c r="AE947" s="1">
        <f t="shared" si="302"/>
        <v>0</v>
      </c>
      <c r="AF947" s="1">
        <f t="shared" si="303"/>
        <v>0</v>
      </c>
      <c r="AG947" s="1">
        <f t="shared" si="304"/>
        <v>0</v>
      </c>
      <c r="AH947" s="1">
        <f t="shared" si="305"/>
        <v>182.5</v>
      </c>
      <c r="AI947" s="5">
        <f t="shared" si="306"/>
        <v>0.5</v>
      </c>
      <c r="AJ947" s="5">
        <f t="shared" si="307"/>
        <v>0.43521462639109698</v>
      </c>
      <c r="AK947" s="5">
        <f t="shared" si="308"/>
        <v>0.65282193958664547</v>
      </c>
      <c r="AL947" s="5">
        <f t="shared" si="309"/>
        <v>1.6320548489666136</v>
      </c>
      <c r="AM947" s="5">
        <f t="shared" si="310"/>
        <v>0</v>
      </c>
      <c r="AN947" s="5">
        <f t="shared" si="311"/>
        <v>1.6320548489666136</v>
      </c>
      <c r="AO947" s="1" t="s">
        <v>102</v>
      </c>
    </row>
    <row r="948" spans="1:41" x14ac:dyDescent="0.25">
      <c r="A948" s="1" t="s">
        <v>19</v>
      </c>
      <c r="B948" s="1" t="s">
        <v>46</v>
      </c>
      <c r="C948" s="1" t="s">
        <v>21</v>
      </c>
      <c r="D948" s="1" t="s">
        <v>47</v>
      </c>
      <c r="E948" s="1" t="s">
        <v>96</v>
      </c>
      <c r="F948" s="1" t="s">
        <v>103</v>
      </c>
      <c r="G948" s="1" t="s">
        <v>320</v>
      </c>
      <c r="H948" s="1" t="s">
        <v>451</v>
      </c>
      <c r="I948" s="1" t="s">
        <v>174</v>
      </c>
      <c r="J948" s="1" t="s">
        <v>101</v>
      </c>
      <c r="L948" s="1">
        <v>2584549</v>
      </c>
      <c r="M948" s="1" t="s">
        <v>1101</v>
      </c>
      <c r="N948" s="8">
        <f t="shared" si="315"/>
        <v>43500</v>
      </c>
      <c r="O948" s="8">
        <f>DATE(2022,12,23)</f>
        <v>44918</v>
      </c>
      <c r="P948" s="1">
        <v>2980</v>
      </c>
      <c r="Q948" s="1">
        <v>3200</v>
      </c>
      <c r="R948" s="1">
        <f t="shared" si="294"/>
        <v>3200</v>
      </c>
      <c r="S948" s="1">
        <v>2.5</v>
      </c>
      <c r="U948" s="1">
        <f t="shared" si="295"/>
        <v>1419</v>
      </c>
      <c r="V948" s="7">
        <f t="shared" si="296"/>
        <v>2.1000704721634955</v>
      </c>
      <c r="W948" s="7">
        <f t="shared" si="297"/>
        <v>766.52572233967589</v>
      </c>
      <c r="X948" s="7">
        <f t="shared" si="298"/>
        <v>0.95815715292459491</v>
      </c>
      <c r="AA948" s="8">
        <f t="shared" si="299"/>
        <v>44927</v>
      </c>
      <c r="AB948" s="8">
        <f t="shared" si="300"/>
        <v>45291</v>
      </c>
      <c r="AC948" s="1">
        <v>14</v>
      </c>
      <c r="AD948" s="1">
        <f t="shared" si="301"/>
        <v>0</v>
      </c>
      <c r="AE948" s="1">
        <f t="shared" si="302"/>
        <v>0</v>
      </c>
      <c r="AF948" s="1">
        <f t="shared" si="303"/>
        <v>0</v>
      </c>
      <c r="AG948" s="1">
        <f t="shared" si="304"/>
        <v>0</v>
      </c>
      <c r="AH948" s="1">
        <f t="shared" si="305"/>
        <v>182.5</v>
      </c>
      <c r="AI948" s="5">
        <f t="shared" si="306"/>
        <v>0.5</v>
      </c>
      <c r="AJ948" s="5">
        <f t="shared" si="307"/>
        <v>0.47907857646229746</v>
      </c>
      <c r="AK948" s="5">
        <f t="shared" si="308"/>
        <v>3.3535500352360823</v>
      </c>
      <c r="AL948" s="5">
        <f t="shared" si="309"/>
        <v>8.3838750880902051</v>
      </c>
      <c r="AM948" s="5">
        <f t="shared" si="310"/>
        <v>0</v>
      </c>
      <c r="AN948" s="5">
        <f t="shared" si="311"/>
        <v>8.3838750880902051</v>
      </c>
      <c r="AO948" s="1" t="s">
        <v>102</v>
      </c>
    </row>
    <row r="949" spans="1:41" x14ac:dyDescent="0.25">
      <c r="A949" s="1" t="s">
        <v>19</v>
      </c>
      <c r="B949" s="1" t="s">
        <v>46</v>
      </c>
      <c r="C949" s="1" t="s">
        <v>21</v>
      </c>
      <c r="D949" s="1" t="s">
        <v>47</v>
      </c>
      <c r="E949" s="1" t="s">
        <v>96</v>
      </c>
      <c r="F949" s="1" t="s">
        <v>103</v>
      </c>
      <c r="G949" s="1" t="s">
        <v>185</v>
      </c>
      <c r="H949" s="1" t="s">
        <v>493</v>
      </c>
      <c r="I949" s="1" t="s">
        <v>174</v>
      </c>
      <c r="J949" s="1" t="s">
        <v>101</v>
      </c>
      <c r="L949" s="1">
        <v>2650153</v>
      </c>
      <c r="M949" s="1" t="s">
        <v>1102</v>
      </c>
      <c r="N949" s="8">
        <f>DATE(2019,10,4)</f>
        <v>43742</v>
      </c>
      <c r="O949" s="8">
        <f>DATE(2020,11,30)</f>
        <v>44165</v>
      </c>
      <c r="P949" s="1">
        <v>420</v>
      </c>
      <c r="Q949" s="1">
        <v>360</v>
      </c>
      <c r="R949" s="1">
        <f t="shared" si="294"/>
        <v>360</v>
      </c>
      <c r="S949" s="1">
        <v>2</v>
      </c>
      <c r="U949" s="1">
        <f t="shared" si="295"/>
        <v>424</v>
      </c>
      <c r="V949" s="7">
        <f t="shared" si="296"/>
        <v>0.84905660377358494</v>
      </c>
      <c r="W949" s="7">
        <f t="shared" si="297"/>
        <v>309.90566037735852</v>
      </c>
      <c r="X949" s="7">
        <f t="shared" si="298"/>
        <v>0.38738207547169812</v>
      </c>
      <c r="AA949" s="8">
        <f t="shared" si="299"/>
        <v>44927</v>
      </c>
      <c r="AB949" s="8">
        <f t="shared" si="300"/>
        <v>45291</v>
      </c>
      <c r="AC949" s="1">
        <v>3</v>
      </c>
      <c r="AD949" s="1">
        <f t="shared" si="301"/>
        <v>0</v>
      </c>
      <c r="AE949" s="1">
        <f t="shared" si="302"/>
        <v>0</v>
      </c>
      <c r="AF949" s="1">
        <f t="shared" si="303"/>
        <v>0</v>
      </c>
      <c r="AG949" s="1">
        <f t="shared" si="304"/>
        <v>0</v>
      </c>
      <c r="AH949" s="1">
        <f t="shared" si="305"/>
        <v>182.5</v>
      </c>
      <c r="AI949" s="5">
        <f t="shared" si="306"/>
        <v>0.5</v>
      </c>
      <c r="AJ949" s="5">
        <f t="shared" si="307"/>
        <v>0.19369103773584906</v>
      </c>
      <c r="AK949" s="5">
        <f t="shared" si="308"/>
        <v>0.29053655660377359</v>
      </c>
      <c r="AL949" s="5">
        <f t="shared" si="309"/>
        <v>0.58107311320754718</v>
      </c>
      <c r="AM949" s="5">
        <f t="shared" si="310"/>
        <v>0</v>
      </c>
      <c r="AN949" s="5">
        <f t="shared" si="311"/>
        <v>0.58107311320754718</v>
      </c>
      <c r="AO949" s="1" t="s">
        <v>102</v>
      </c>
    </row>
    <row r="950" spans="1:41" x14ac:dyDescent="0.25">
      <c r="A950" s="1" t="s">
        <v>19</v>
      </c>
      <c r="B950" s="1" t="s">
        <v>46</v>
      </c>
      <c r="C950" s="1" t="s">
        <v>21</v>
      </c>
      <c r="D950" s="1" t="s">
        <v>47</v>
      </c>
      <c r="E950" s="1" t="s">
        <v>96</v>
      </c>
      <c r="F950" s="1" t="s">
        <v>103</v>
      </c>
      <c r="G950" s="1" t="s">
        <v>98</v>
      </c>
      <c r="H950" s="1" t="s">
        <v>99</v>
      </c>
      <c r="I950" s="1" t="s">
        <v>100</v>
      </c>
      <c r="J950" s="1" t="s">
        <v>101</v>
      </c>
      <c r="L950" s="1">
        <v>2676505</v>
      </c>
      <c r="M950" s="1" t="s">
        <v>1103</v>
      </c>
      <c r="N950" s="8">
        <f t="shared" ref="N950:N956" si="316">DATE(2020,2,3)</f>
        <v>43864</v>
      </c>
      <c r="O950" s="8">
        <f>DATE(2023,12,22)</f>
        <v>45282</v>
      </c>
      <c r="P950" s="1">
        <v>3000</v>
      </c>
      <c r="Q950" s="1">
        <v>3000</v>
      </c>
      <c r="R950" s="1">
        <f t="shared" si="294"/>
        <v>3000</v>
      </c>
      <c r="S950" s="1">
        <v>1</v>
      </c>
      <c r="U950" s="1">
        <f t="shared" si="295"/>
        <v>1419</v>
      </c>
      <c r="V950" s="7">
        <f t="shared" si="296"/>
        <v>2.1141649048625792</v>
      </c>
      <c r="W950" s="7">
        <f t="shared" si="297"/>
        <v>771.67019027484139</v>
      </c>
      <c r="X950" s="7">
        <f t="shared" si="298"/>
        <v>0.96458773784355178</v>
      </c>
      <c r="AA950" s="8">
        <f t="shared" si="299"/>
        <v>44927</v>
      </c>
      <c r="AB950" s="8">
        <f t="shared" si="300"/>
        <v>45291</v>
      </c>
      <c r="AC950" s="1">
        <v>28</v>
      </c>
      <c r="AD950" s="1">
        <f t="shared" si="301"/>
        <v>0</v>
      </c>
      <c r="AE950" s="1">
        <f t="shared" si="302"/>
        <v>0</v>
      </c>
      <c r="AF950" s="1">
        <f t="shared" si="303"/>
        <v>356</v>
      </c>
      <c r="AG950" s="1">
        <f t="shared" si="304"/>
        <v>0</v>
      </c>
      <c r="AH950" s="1">
        <f t="shared" si="305"/>
        <v>0</v>
      </c>
      <c r="AI950" s="5">
        <f t="shared" si="306"/>
        <v>0.97534246575342465</v>
      </c>
      <c r="AJ950" s="5">
        <f t="shared" si="307"/>
        <v>0.94080338266384778</v>
      </c>
      <c r="AK950" s="5">
        <f t="shared" si="308"/>
        <v>26.342494714587737</v>
      </c>
      <c r="AL950" s="5">
        <f t="shared" si="309"/>
        <v>26.342494714587737</v>
      </c>
      <c r="AM950" s="5">
        <f t="shared" si="310"/>
        <v>0</v>
      </c>
      <c r="AN950" s="5">
        <f t="shared" si="311"/>
        <v>26.342494714587737</v>
      </c>
      <c r="AO950" s="1" t="s">
        <v>102</v>
      </c>
    </row>
    <row r="951" spans="1:41" x14ac:dyDescent="0.25">
      <c r="A951" s="1" t="s">
        <v>19</v>
      </c>
      <c r="B951" s="1" t="s">
        <v>46</v>
      </c>
      <c r="C951" s="1" t="s">
        <v>21</v>
      </c>
      <c r="D951" s="1" t="s">
        <v>47</v>
      </c>
      <c r="E951" s="1" t="s">
        <v>96</v>
      </c>
      <c r="F951" s="1" t="s">
        <v>103</v>
      </c>
      <c r="G951" s="1" t="s">
        <v>114</v>
      </c>
      <c r="H951" s="1" t="s">
        <v>247</v>
      </c>
      <c r="I951" s="1" t="s">
        <v>162</v>
      </c>
      <c r="J951" s="1" t="s">
        <v>101</v>
      </c>
      <c r="K951" s="1" t="s">
        <v>116</v>
      </c>
      <c r="L951" s="1">
        <v>2678440</v>
      </c>
      <c r="M951" s="1" t="s">
        <v>1104</v>
      </c>
      <c r="N951" s="8">
        <f t="shared" si="316"/>
        <v>43864</v>
      </c>
      <c r="O951" s="8">
        <f>DATE(2022,12,16)</f>
        <v>44911</v>
      </c>
      <c r="P951" s="1">
        <v>3560</v>
      </c>
      <c r="Q951" s="1">
        <v>1200</v>
      </c>
      <c r="R951" s="1">
        <f t="shared" si="294"/>
        <v>3200</v>
      </c>
      <c r="S951" s="1">
        <v>1.5</v>
      </c>
      <c r="U951" s="1">
        <f t="shared" si="295"/>
        <v>1048</v>
      </c>
      <c r="V951" s="7">
        <f t="shared" si="296"/>
        <v>3.053435114503817</v>
      </c>
      <c r="W951" s="7">
        <f t="shared" si="297"/>
        <v>1114.5038167938933</v>
      </c>
      <c r="X951" s="7">
        <f t="shared" si="298"/>
        <v>1.3931297709923667</v>
      </c>
      <c r="AA951" s="8">
        <f t="shared" si="299"/>
        <v>44927</v>
      </c>
      <c r="AB951" s="8">
        <f t="shared" si="300"/>
        <v>45291</v>
      </c>
      <c r="AC951" s="1">
        <v>8</v>
      </c>
      <c r="AD951" s="1">
        <f t="shared" si="301"/>
        <v>0</v>
      </c>
      <c r="AE951" s="1">
        <f t="shared" si="302"/>
        <v>0</v>
      </c>
      <c r="AF951" s="1">
        <f t="shared" si="303"/>
        <v>0</v>
      </c>
      <c r="AG951" s="1">
        <f t="shared" si="304"/>
        <v>0</v>
      </c>
      <c r="AH951" s="1">
        <f t="shared" si="305"/>
        <v>182.5</v>
      </c>
      <c r="AI951" s="5">
        <f t="shared" si="306"/>
        <v>0.5</v>
      </c>
      <c r="AJ951" s="5">
        <f t="shared" si="307"/>
        <v>0.69656488549618334</v>
      </c>
      <c r="AK951" s="5">
        <f t="shared" si="308"/>
        <v>2.7862595419847334</v>
      </c>
      <c r="AL951" s="5">
        <f t="shared" si="309"/>
        <v>4.1793893129770998</v>
      </c>
      <c r="AM951" s="5">
        <f t="shared" si="310"/>
        <v>0</v>
      </c>
      <c r="AN951" s="5">
        <f t="shared" si="311"/>
        <v>4.1793893129770998</v>
      </c>
      <c r="AO951" s="1" t="s">
        <v>102</v>
      </c>
    </row>
    <row r="952" spans="1:41" x14ac:dyDescent="0.25">
      <c r="A952" s="1" t="s">
        <v>19</v>
      </c>
      <c r="B952" s="1" t="s">
        <v>46</v>
      </c>
      <c r="C952" s="1" t="s">
        <v>21</v>
      </c>
      <c r="D952" s="1" t="s">
        <v>47</v>
      </c>
      <c r="E952" s="1" t="s">
        <v>96</v>
      </c>
      <c r="F952" s="1" t="s">
        <v>103</v>
      </c>
      <c r="G952" s="1" t="s">
        <v>114</v>
      </c>
      <c r="H952" s="1" t="s">
        <v>257</v>
      </c>
      <c r="I952" s="1" t="s">
        <v>157</v>
      </c>
      <c r="J952" s="1" t="s">
        <v>101</v>
      </c>
      <c r="K952" s="1" t="s">
        <v>116</v>
      </c>
      <c r="L952" s="1">
        <v>2678448</v>
      </c>
      <c r="M952" s="1" t="s">
        <v>1105</v>
      </c>
      <c r="N952" s="8">
        <f t="shared" si="316"/>
        <v>43864</v>
      </c>
      <c r="O952" s="8">
        <f>DATE(2022,12,16)</f>
        <v>44911</v>
      </c>
      <c r="P952" s="1">
        <v>3400</v>
      </c>
      <c r="Q952" s="1">
        <v>1200</v>
      </c>
      <c r="R952" s="1">
        <f t="shared" si="294"/>
        <v>3200</v>
      </c>
      <c r="S952" s="1">
        <v>2.5</v>
      </c>
      <c r="U952" s="1">
        <f t="shared" si="295"/>
        <v>1048</v>
      </c>
      <c r="V952" s="7">
        <f t="shared" si="296"/>
        <v>3.053435114503817</v>
      </c>
      <c r="W952" s="7">
        <f t="shared" si="297"/>
        <v>1114.5038167938933</v>
      </c>
      <c r="X952" s="7">
        <f t="shared" si="298"/>
        <v>1.3931297709923667</v>
      </c>
      <c r="AA952" s="8">
        <f t="shared" si="299"/>
        <v>44927</v>
      </c>
      <c r="AB952" s="8">
        <f t="shared" si="300"/>
        <v>45291</v>
      </c>
      <c r="AC952" s="1">
        <v>5</v>
      </c>
      <c r="AD952" s="1">
        <f t="shared" si="301"/>
        <v>0</v>
      </c>
      <c r="AE952" s="1">
        <f t="shared" si="302"/>
        <v>0</v>
      </c>
      <c r="AF952" s="1">
        <f t="shared" si="303"/>
        <v>0</v>
      </c>
      <c r="AG952" s="1">
        <f t="shared" si="304"/>
        <v>0</v>
      </c>
      <c r="AH952" s="1">
        <f t="shared" si="305"/>
        <v>182.5</v>
      </c>
      <c r="AI952" s="5">
        <f t="shared" si="306"/>
        <v>0.5</v>
      </c>
      <c r="AJ952" s="5">
        <f t="shared" si="307"/>
        <v>0.69656488549618334</v>
      </c>
      <c r="AK952" s="5">
        <f t="shared" si="308"/>
        <v>1.7414122137404584</v>
      </c>
      <c r="AL952" s="5">
        <f t="shared" si="309"/>
        <v>4.3535305343511457</v>
      </c>
      <c r="AM952" s="5">
        <f t="shared" si="310"/>
        <v>0</v>
      </c>
      <c r="AN952" s="5">
        <f t="shared" si="311"/>
        <v>4.3535305343511457</v>
      </c>
      <c r="AO952" s="1" t="s">
        <v>102</v>
      </c>
    </row>
    <row r="953" spans="1:41" x14ac:dyDescent="0.25">
      <c r="A953" s="1" t="s">
        <v>19</v>
      </c>
      <c r="B953" s="1" t="s">
        <v>46</v>
      </c>
      <c r="C953" s="1" t="s">
        <v>21</v>
      </c>
      <c r="D953" s="1" t="s">
        <v>47</v>
      </c>
      <c r="E953" s="1" t="s">
        <v>96</v>
      </c>
      <c r="F953" s="1" t="s">
        <v>103</v>
      </c>
      <c r="G953" s="1" t="s">
        <v>114</v>
      </c>
      <c r="H953" s="1" t="s">
        <v>115</v>
      </c>
      <c r="I953" s="1" t="s">
        <v>100</v>
      </c>
      <c r="J953" s="1" t="s">
        <v>101</v>
      </c>
      <c r="K953" s="1" t="s">
        <v>116</v>
      </c>
      <c r="L953" s="1">
        <v>2678954</v>
      </c>
      <c r="M953" s="1" t="s">
        <v>1106</v>
      </c>
      <c r="N953" s="8">
        <f t="shared" si="316"/>
        <v>43864</v>
      </c>
      <c r="O953" s="8">
        <f>DATE(2022,12,16)</f>
        <v>44911</v>
      </c>
      <c r="P953" s="1">
        <v>3424</v>
      </c>
      <c r="Q953" s="1">
        <v>800</v>
      </c>
      <c r="R953" s="1">
        <f t="shared" si="294"/>
        <v>3000</v>
      </c>
      <c r="S953" s="1">
        <v>1.5</v>
      </c>
      <c r="U953" s="1">
        <f t="shared" si="295"/>
        <v>1048</v>
      </c>
      <c r="V953" s="7">
        <f t="shared" si="296"/>
        <v>2.8625954198473282</v>
      </c>
      <c r="W953" s="7">
        <f t="shared" si="297"/>
        <v>1044.8473282442749</v>
      </c>
      <c r="X953" s="7">
        <f t="shared" si="298"/>
        <v>1.3060591603053435</v>
      </c>
      <c r="AA953" s="8">
        <f t="shared" si="299"/>
        <v>44927</v>
      </c>
      <c r="AB953" s="8">
        <f t="shared" si="300"/>
        <v>45291</v>
      </c>
      <c r="AC953" s="1">
        <v>12</v>
      </c>
      <c r="AD953" s="1">
        <f t="shared" si="301"/>
        <v>0</v>
      </c>
      <c r="AE953" s="1">
        <f t="shared" si="302"/>
        <v>0</v>
      </c>
      <c r="AF953" s="1">
        <f t="shared" si="303"/>
        <v>0</v>
      </c>
      <c r="AG953" s="1">
        <f t="shared" si="304"/>
        <v>0</v>
      </c>
      <c r="AH953" s="1">
        <f t="shared" si="305"/>
        <v>182.5</v>
      </c>
      <c r="AI953" s="5">
        <f t="shared" si="306"/>
        <v>0.5</v>
      </c>
      <c r="AJ953" s="5">
        <f t="shared" si="307"/>
        <v>0.65302958015267176</v>
      </c>
      <c r="AK953" s="5">
        <f t="shared" si="308"/>
        <v>3.9181774809160306</v>
      </c>
      <c r="AL953" s="5">
        <f t="shared" si="309"/>
        <v>5.8772662213740459</v>
      </c>
      <c r="AM953" s="5">
        <f t="shared" si="310"/>
        <v>0</v>
      </c>
      <c r="AN953" s="5">
        <f t="shared" si="311"/>
        <v>5.8772662213740459</v>
      </c>
      <c r="AO953" s="1" t="s">
        <v>102</v>
      </c>
    </row>
    <row r="954" spans="1:41" x14ac:dyDescent="0.25">
      <c r="A954" s="1" t="s">
        <v>19</v>
      </c>
      <c r="B954" s="1" t="s">
        <v>46</v>
      </c>
      <c r="C954" s="1" t="s">
        <v>21</v>
      </c>
      <c r="D954" s="1" t="s">
        <v>47</v>
      </c>
      <c r="E954" s="1" t="s">
        <v>96</v>
      </c>
      <c r="F954" s="1" t="s">
        <v>103</v>
      </c>
      <c r="G954" s="1" t="s">
        <v>127</v>
      </c>
      <c r="H954" s="1" t="s">
        <v>1090</v>
      </c>
      <c r="I954" s="1" t="s">
        <v>210</v>
      </c>
      <c r="J954" s="1" t="s">
        <v>101</v>
      </c>
      <c r="L954" s="1">
        <v>2678995</v>
      </c>
      <c r="M954" s="1" t="s">
        <v>1107</v>
      </c>
      <c r="N954" s="8">
        <f t="shared" si="316"/>
        <v>43864</v>
      </c>
      <c r="O954" s="8">
        <f>DATE(2023,7,14)</f>
        <v>45121</v>
      </c>
      <c r="P954" s="1">
        <v>2480</v>
      </c>
      <c r="Q954" s="1">
        <v>2400</v>
      </c>
      <c r="R954" s="1">
        <f t="shared" ref="R954:R1016" si="317">IF(OR(G954="QUALIFICACAO PROFISSIONAL (FIC)",G954="DOUTORADO"),P954,
    IF(ISNUMBER(FIND("PROEJA",K954)),2400,
        IF(K954="INTEGRADO",
            IF(Q954=800,3000,
                IF(Q954=1000,3100,
                    IF(Q954=1200,3200,Q954)
                )
            ),
            Q954
        )
    )
)</f>
        <v>2400</v>
      </c>
      <c r="S954" s="1">
        <v>2.5</v>
      </c>
      <c r="U954" s="1">
        <f t="shared" ref="U954:U1016" si="318">O954-N954+1</f>
        <v>1258</v>
      </c>
      <c r="V954" s="7">
        <f t="shared" ref="V954:V1016" si="319">IF(R954&gt;P954,P954,R954)/U954</f>
        <v>1.9077901430842608</v>
      </c>
      <c r="W954" s="7">
        <f t="shared" ref="W954:W1016" si="320">IF(U954&gt;365,V954*365,R954)</f>
        <v>696.3434022257552</v>
      </c>
      <c r="X954" s="7">
        <f t="shared" ref="X954:X1016" si="321">IF(U954&gt;365,W954/800,R954/800)</f>
        <v>0.87042925278219396</v>
      </c>
      <c r="AA954" s="8">
        <f t="shared" ref="AA954:AA1016" si="322">DATE(2023,1,1)</f>
        <v>44927</v>
      </c>
      <c r="AB954" s="8">
        <f t="shared" ref="AB954:AB1016" si="323">DATE(2023,12,31)</f>
        <v>45291</v>
      </c>
      <c r="AC954" s="1">
        <v>12</v>
      </c>
      <c r="AD954" s="1">
        <f t="shared" ref="AD954:AD1016" si="324">IF(AND(N954&lt;AA954,O954&gt;AB954),AB954-AA954+1,0)</f>
        <v>0</v>
      </c>
      <c r="AE954" s="1">
        <f t="shared" ref="AE954:AE1016" si="325">IF(AND(N954&gt;=AA954,O954&gt;AB954,N954&lt;AB954),AB954-N954+1,0)</f>
        <v>0</v>
      </c>
      <c r="AF954" s="1">
        <f t="shared" ref="AF954:AF1016" si="326">IF(AND(N954&lt;AA954,O954&lt;=AB954,O954&gt;=AA954),O954-AA954+1,0)</f>
        <v>195</v>
      </c>
      <c r="AG954" s="1">
        <f t="shared" ref="AG954:AG1016" si="327">IF(AND(N954&gt;=AA954,O954&lt;=AB954),O954-N954+1,0)</f>
        <v>0</v>
      </c>
      <c r="AH954" s="1">
        <f t="shared" ref="AH954:AH1016" si="328">IF(AND(N954&lt;AA954,O954&lt;AA954),(AB954-AA954+1)/2,0)</f>
        <v>0</v>
      </c>
      <c r="AI954" s="5">
        <f t="shared" ref="AI954:AI1016" si="329">SUM(AD954:AH954)/IF(U954&gt;=365,AB954-AA954+1,U954)</f>
        <v>0.53424657534246578</v>
      </c>
      <c r="AJ954" s="5">
        <f t="shared" ref="AJ954:AJ1016" si="330">X954*AI954</f>
        <v>0.46502384737678859</v>
      </c>
      <c r="AK954" s="5">
        <f t="shared" ref="AK954:AK1016" si="331">IF(AH954=0,AJ954*AC954,IF(AA954-O954&gt;1095,0,AJ954*(AC954/2)))</f>
        <v>5.5802861685214626</v>
      </c>
      <c r="AL954" s="5">
        <f t="shared" ref="AL954:AL1016" si="332">AK954*S954</f>
        <v>13.950715421303656</v>
      </c>
      <c r="AM954" s="5">
        <f t="shared" ref="AM954:AM1016" si="333">IF(J954="SIM",AL954*50%,0)</f>
        <v>0</v>
      </c>
      <c r="AN954" s="5">
        <f t="shared" ref="AN954:AN1016" si="334">AL954+AM954</f>
        <v>13.950715421303656</v>
      </c>
      <c r="AO954" s="1" t="s">
        <v>102</v>
      </c>
    </row>
    <row r="955" spans="1:41" x14ac:dyDescent="0.25">
      <c r="A955" s="1" t="s">
        <v>19</v>
      </c>
      <c r="B955" s="1" t="s">
        <v>46</v>
      </c>
      <c r="C955" s="1" t="s">
        <v>21</v>
      </c>
      <c r="D955" s="1" t="s">
        <v>47</v>
      </c>
      <c r="E955" s="1" t="s">
        <v>96</v>
      </c>
      <c r="F955" s="1" t="s">
        <v>103</v>
      </c>
      <c r="G955" s="1" t="s">
        <v>320</v>
      </c>
      <c r="H955" s="1" t="s">
        <v>451</v>
      </c>
      <c r="I955" s="1" t="s">
        <v>174</v>
      </c>
      <c r="J955" s="1" t="s">
        <v>101</v>
      </c>
      <c r="L955" s="1">
        <v>2679025</v>
      </c>
      <c r="M955" s="1" t="s">
        <v>1108</v>
      </c>
      <c r="N955" s="8">
        <f t="shared" si="316"/>
        <v>43864</v>
      </c>
      <c r="O955" s="8">
        <f>DATE(2023,12,22)</f>
        <v>45282</v>
      </c>
      <c r="P955" s="1">
        <v>2980</v>
      </c>
      <c r="Q955" s="1">
        <v>3200</v>
      </c>
      <c r="R955" s="1">
        <f t="shared" si="317"/>
        <v>3200</v>
      </c>
      <c r="S955" s="1">
        <v>2.5</v>
      </c>
      <c r="U955" s="1">
        <f t="shared" si="318"/>
        <v>1419</v>
      </c>
      <c r="V955" s="7">
        <f t="shared" si="319"/>
        <v>2.1000704721634955</v>
      </c>
      <c r="W955" s="7">
        <f t="shared" si="320"/>
        <v>766.52572233967589</v>
      </c>
      <c r="X955" s="7">
        <f t="shared" si="321"/>
        <v>0.95815715292459491</v>
      </c>
      <c r="AA955" s="8">
        <f t="shared" si="322"/>
        <v>44927</v>
      </c>
      <c r="AB955" s="8">
        <f t="shared" si="323"/>
        <v>45291</v>
      </c>
      <c r="AC955" s="1">
        <v>12</v>
      </c>
      <c r="AD955" s="1">
        <f t="shared" si="324"/>
        <v>0</v>
      </c>
      <c r="AE955" s="1">
        <f t="shared" si="325"/>
        <v>0</v>
      </c>
      <c r="AF955" s="1">
        <f t="shared" si="326"/>
        <v>356</v>
      </c>
      <c r="AG955" s="1">
        <f t="shared" si="327"/>
        <v>0</v>
      </c>
      <c r="AH955" s="1">
        <f t="shared" si="328"/>
        <v>0</v>
      </c>
      <c r="AI955" s="5">
        <f t="shared" si="329"/>
        <v>0.97534246575342465</v>
      </c>
      <c r="AJ955" s="5">
        <f t="shared" si="330"/>
        <v>0.93453136011275562</v>
      </c>
      <c r="AK955" s="5">
        <f t="shared" si="331"/>
        <v>11.214376321353068</v>
      </c>
      <c r="AL955" s="5">
        <f t="shared" si="332"/>
        <v>28.035940803382672</v>
      </c>
      <c r="AM955" s="5">
        <f t="shared" si="333"/>
        <v>0</v>
      </c>
      <c r="AN955" s="5">
        <f t="shared" si="334"/>
        <v>28.035940803382672</v>
      </c>
      <c r="AO955" s="1" t="s">
        <v>102</v>
      </c>
    </row>
    <row r="956" spans="1:41" x14ac:dyDescent="0.25">
      <c r="A956" s="1" t="s">
        <v>19</v>
      </c>
      <c r="B956" s="1" t="s">
        <v>46</v>
      </c>
      <c r="C956" s="1" t="s">
        <v>21</v>
      </c>
      <c r="D956" s="1" t="s">
        <v>47</v>
      </c>
      <c r="E956" s="1" t="s">
        <v>96</v>
      </c>
      <c r="F956" s="1" t="s">
        <v>103</v>
      </c>
      <c r="G956" s="1" t="s">
        <v>127</v>
      </c>
      <c r="H956" s="1" t="s">
        <v>518</v>
      </c>
      <c r="I956" s="1" t="s">
        <v>162</v>
      </c>
      <c r="J956" s="1" t="s">
        <v>101</v>
      </c>
      <c r="L956" s="1">
        <v>2679034</v>
      </c>
      <c r="M956" s="1" t="s">
        <v>1109</v>
      </c>
      <c r="N956" s="8">
        <f t="shared" si="316"/>
        <v>43864</v>
      </c>
      <c r="O956" s="8">
        <f>DATE(2022,12,16)</f>
        <v>44911</v>
      </c>
      <c r="P956" s="1">
        <v>2210</v>
      </c>
      <c r="Q956" s="1">
        <v>2000</v>
      </c>
      <c r="R956" s="1">
        <f t="shared" si="317"/>
        <v>2000</v>
      </c>
      <c r="S956" s="1">
        <v>1.5</v>
      </c>
      <c r="U956" s="1">
        <f t="shared" si="318"/>
        <v>1048</v>
      </c>
      <c r="V956" s="7">
        <f t="shared" si="319"/>
        <v>1.9083969465648856</v>
      </c>
      <c r="W956" s="7">
        <f t="shared" si="320"/>
        <v>696.56488549618325</v>
      </c>
      <c r="X956" s="7">
        <f t="shared" si="321"/>
        <v>0.87070610687022909</v>
      </c>
      <c r="AA956" s="8">
        <f t="shared" si="322"/>
        <v>44927</v>
      </c>
      <c r="AB956" s="8">
        <f t="shared" si="323"/>
        <v>45291</v>
      </c>
      <c r="AC956" s="1">
        <v>9</v>
      </c>
      <c r="AD956" s="1">
        <f t="shared" si="324"/>
        <v>0</v>
      </c>
      <c r="AE956" s="1">
        <f t="shared" si="325"/>
        <v>0</v>
      </c>
      <c r="AF956" s="1">
        <f t="shared" si="326"/>
        <v>0</v>
      </c>
      <c r="AG956" s="1">
        <f t="shared" si="327"/>
        <v>0</v>
      </c>
      <c r="AH956" s="1">
        <f t="shared" si="328"/>
        <v>182.5</v>
      </c>
      <c r="AI956" s="5">
        <f t="shared" si="329"/>
        <v>0.5</v>
      </c>
      <c r="AJ956" s="5">
        <f t="shared" si="330"/>
        <v>0.43535305343511455</v>
      </c>
      <c r="AK956" s="5">
        <f t="shared" si="331"/>
        <v>1.9590887404580155</v>
      </c>
      <c r="AL956" s="5">
        <f t="shared" si="332"/>
        <v>2.9386331106870234</v>
      </c>
      <c r="AM956" s="5">
        <f t="shared" si="333"/>
        <v>0</v>
      </c>
      <c r="AN956" s="5">
        <f t="shared" si="334"/>
        <v>2.9386331106870234</v>
      </c>
      <c r="AO956" s="1" t="s">
        <v>102</v>
      </c>
    </row>
    <row r="957" spans="1:41" x14ac:dyDescent="0.25">
      <c r="A957" s="1" t="s">
        <v>19</v>
      </c>
      <c r="B957" s="1" t="s">
        <v>46</v>
      </c>
      <c r="C957" s="1" t="s">
        <v>21</v>
      </c>
      <c r="D957" s="1" t="s">
        <v>47</v>
      </c>
      <c r="E957" s="1" t="s">
        <v>96</v>
      </c>
      <c r="F957" s="1" t="s">
        <v>103</v>
      </c>
      <c r="G957" s="1" t="s">
        <v>114</v>
      </c>
      <c r="H957" s="1" t="s">
        <v>257</v>
      </c>
      <c r="I957" s="1" t="s">
        <v>157</v>
      </c>
      <c r="J957" s="1" t="s">
        <v>101</v>
      </c>
      <c r="K957" s="1" t="s">
        <v>116</v>
      </c>
      <c r="L957" s="1">
        <v>2772510</v>
      </c>
      <c r="M957" s="1" t="s">
        <v>1110</v>
      </c>
      <c r="N957" s="8">
        <f t="shared" ref="N957:N963" si="335">DATE(2021,4,5)</f>
        <v>44291</v>
      </c>
      <c r="O957" s="8">
        <f>DATE(2023,12,22)</f>
        <v>45282</v>
      </c>
      <c r="P957" s="1">
        <v>3400</v>
      </c>
      <c r="Q957" s="1">
        <v>1200</v>
      </c>
      <c r="R957" s="1">
        <f t="shared" si="317"/>
        <v>3200</v>
      </c>
      <c r="S957" s="1">
        <v>2.5</v>
      </c>
      <c r="U957" s="1">
        <f t="shared" si="318"/>
        <v>992</v>
      </c>
      <c r="V957" s="7">
        <f t="shared" si="319"/>
        <v>3.225806451612903</v>
      </c>
      <c r="W957" s="7">
        <f t="shared" si="320"/>
        <v>1177.4193548387095</v>
      </c>
      <c r="X957" s="7">
        <f t="shared" si="321"/>
        <v>1.471774193548387</v>
      </c>
      <c r="AA957" s="8">
        <f t="shared" si="322"/>
        <v>44927</v>
      </c>
      <c r="AB957" s="8">
        <f t="shared" si="323"/>
        <v>45291</v>
      </c>
      <c r="AC957" s="1">
        <v>47</v>
      </c>
      <c r="AD957" s="1">
        <f t="shared" si="324"/>
        <v>0</v>
      </c>
      <c r="AE957" s="1">
        <f t="shared" si="325"/>
        <v>0</v>
      </c>
      <c r="AF957" s="1">
        <f t="shared" si="326"/>
        <v>356</v>
      </c>
      <c r="AG957" s="1">
        <f t="shared" si="327"/>
        <v>0</v>
      </c>
      <c r="AH957" s="1">
        <f t="shared" si="328"/>
        <v>0</v>
      </c>
      <c r="AI957" s="5">
        <f t="shared" si="329"/>
        <v>0.97534246575342465</v>
      </c>
      <c r="AJ957" s="5">
        <f t="shared" si="330"/>
        <v>1.4354838709677418</v>
      </c>
      <c r="AK957" s="5">
        <f t="shared" si="331"/>
        <v>67.467741935483858</v>
      </c>
      <c r="AL957" s="5">
        <f t="shared" si="332"/>
        <v>168.66935483870964</v>
      </c>
      <c r="AM957" s="5">
        <f t="shared" si="333"/>
        <v>0</v>
      </c>
      <c r="AN957" s="5">
        <f t="shared" si="334"/>
        <v>168.66935483870964</v>
      </c>
      <c r="AO957" s="1" t="s">
        <v>102</v>
      </c>
    </row>
    <row r="958" spans="1:41" x14ac:dyDescent="0.25">
      <c r="A958" s="1" t="s">
        <v>19</v>
      </c>
      <c r="B958" s="1" t="s">
        <v>46</v>
      </c>
      <c r="C958" s="1" t="s">
        <v>21</v>
      </c>
      <c r="D958" s="1" t="s">
        <v>47</v>
      </c>
      <c r="E958" s="1" t="s">
        <v>96</v>
      </c>
      <c r="F958" s="1" t="s">
        <v>103</v>
      </c>
      <c r="G958" s="1" t="s">
        <v>114</v>
      </c>
      <c r="H958" s="1" t="s">
        <v>115</v>
      </c>
      <c r="I958" s="1" t="s">
        <v>100</v>
      </c>
      <c r="J958" s="1" t="s">
        <v>101</v>
      </c>
      <c r="K958" s="1" t="s">
        <v>116</v>
      </c>
      <c r="L958" s="1">
        <v>2772614</v>
      </c>
      <c r="M958" s="1" t="s">
        <v>1111</v>
      </c>
      <c r="N958" s="8">
        <f t="shared" si="335"/>
        <v>44291</v>
      </c>
      <c r="O958" s="8">
        <f>DATE(2023,12,22)</f>
        <v>45282</v>
      </c>
      <c r="P958" s="1">
        <v>3424</v>
      </c>
      <c r="Q958" s="1">
        <v>800</v>
      </c>
      <c r="R958" s="1">
        <f t="shared" si="317"/>
        <v>3000</v>
      </c>
      <c r="S958" s="1">
        <v>1.5</v>
      </c>
      <c r="U958" s="1">
        <f t="shared" si="318"/>
        <v>992</v>
      </c>
      <c r="V958" s="7">
        <f t="shared" si="319"/>
        <v>3.024193548387097</v>
      </c>
      <c r="W958" s="7">
        <f t="shared" si="320"/>
        <v>1103.8306451612905</v>
      </c>
      <c r="X958" s="7">
        <f t="shared" si="321"/>
        <v>1.379788306451613</v>
      </c>
      <c r="AA958" s="8">
        <f t="shared" si="322"/>
        <v>44927</v>
      </c>
      <c r="AB958" s="8">
        <f t="shared" si="323"/>
        <v>45291</v>
      </c>
      <c r="AC958" s="1">
        <v>58</v>
      </c>
      <c r="AD958" s="1">
        <f t="shared" si="324"/>
        <v>0</v>
      </c>
      <c r="AE958" s="1">
        <f t="shared" si="325"/>
        <v>0</v>
      </c>
      <c r="AF958" s="1">
        <f t="shared" si="326"/>
        <v>356</v>
      </c>
      <c r="AG958" s="1">
        <f t="shared" si="327"/>
        <v>0</v>
      </c>
      <c r="AH958" s="1">
        <f t="shared" si="328"/>
        <v>0</v>
      </c>
      <c r="AI958" s="5">
        <f t="shared" si="329"/>
        <v>0.97534246575342465</v>
      </c>
      <c r="AJ958" s="5">
        <f t="shared" si="330"/>
        <v>1.3457661290322582</v>
      </c>
      <c r="AK958" s="5">
        <f t="shared" si="331"/>
        <v>78.054435483870975</v>
      </c>
      <c r="AL958" s="5">
        <f t="shared" si="332"/>
        <v>117.08165322580646</v>
      </c>
      <c r="AM958" s="5">
        <f t="shared" si="333"/>
        <v>0</v>
      </c>
      <c r="AN958" s="5">
        <f t="shared" si="334"/>
        <v>117.08165322580646</v>
      </c>
      <c r="AO958" s="1" t="s">
        <v>102</v>
      </c>
    </row>
    <row r="959" spans="1:41" x14ac:dyDescent="0.25">
      <c r="A959" s="1" t="s">
        <v>19</v>
      </c>
      <c r="B959" s="1" t="s">
        <v>46</v>
      </c>
      <c r="C959" s="1" t="s">
        <v>21</v>
      </c>
      <c r="D959" s="1" t="s">
        <v>47</v>
      </c>
      <c r="E959" s="1" t="s">
        <v>96</v>
      </c>
      <c r="F959" s="1" t="s">
        <v>103</v>
      </c>
      <c r="G959" s="1" t="s">
        <v>114</v>
      </c>
      <c r="H959" s="1" t="s">
        <v>247</v>
      </c>
      <c r="I959" s="1" t="s">
        <v>162</v>
      </c>
      <c r="J959" s="1" t="s">
        <v>101</v>
      </c>
      <c r="K959" s="1" t="s">
        <v>116</v>
      </c>
      <c r="L959" s="1">
        <v>2772671</v>
      </c>
      <c r="M959" s="1" t="s">
        <v>1112</v>
      </c>
      <c r="N959" s="8">
        <f t="shared" si="335"/>
        <v>44291</v>
      </c>
      <c r="O959" s="8">
        <f>DATE(2023,12,22)</f>
        <v>45282</v>
      </c>
      <c r="P959" s="1">
        <v>3560</v>
      </c>
      <c r="Q959" s="1">
        <v>1200</v>
      </c>
      <c r="R959" s="1">
        <f t="shared" si="317"/>
        <v>3200</v>
      </c>
      <c r="S959" s="1">
        <v>1.5</v>
      </c>
      <c r="U959" s="1">
        <f t="shared" si="318"/>
        <v>992</v>
      </c>
      <c r="V959" s="7">
        <f t="shared" si="319"/>
        <v>3.225806451612903</v>
      </c>
      <c r="W959" s="7">
        <f t="shared" si="320"/>
        <v>1177.4193548387095</v>
      </c>
      <c r="X959" s="7">
        <f t="shared" si="321"/>
        <v>1.471774193548387</v>
      </c>
      <c r="AA959" s="8">
        <f t="shared" si="322"/>
        <v>44927</v>
      </c>
      <c r="AB959" s="8">
        <f t="shared" si="323"/>
        <v>45291</v>
      </c>
      <c r="AC959" s="1">
        <v>53</v>
      </c>
      <c r="AD959" s="1">
        <f t="shared" si="324"/>
        <v>0</v>
      </c>
      <c r="AE959" s="1">
        <f t="shared" si="325"/>
        <v>0</v>
      </c>
      <c r="AF959" s="1">
        <f t="shared" si="326"/>
        <v>356</v>
      </c>
      <c r="AG959" s="1">
        <f t="shared" si="327"/>
        <v>0</v>
      </c>
      <c r="AH959" s="1">
        <f t="shared" si="328"/>
        <v>0</v>
      </c>
      <c r="AI959" s="5">
        <f t="shared" si="329"/>
        <v>0.97534246575342465</v>
      </c>
      <c r="AJ959" s="5">
        <f t="shared" si="330"/>
        <v>1.4354838709677418</v>
      </c>
      <c r="AK959" s="5">
        <f t="shared" si="331"/>
        <v>76.08064516129032</v>
      </c>
      <c r="AL959" s="5">
        <f t="shared" si="332"/>
        <v>114.12096774193549</v>
      </c>
      <c r="AM959" s="5">
        <f t="shared" si="333"/>
        <v>0</v>
      </c>
      <c r="AN959" s="5">
        <f t="shared" si="334"/>
        <v>114.12096774193549</v>
      </c>
      <c r="AO959" s="1" t="s">
        <v>102</v>
      </c>
    </row>
    <row r="960" spans="1:41" x14ac:dyDescent="0.25">
      <c r="A960" s="1" t="s">
        <v>19</v>
      </c>
      <c r="B960" s="1" t="s">
        <v>46</v>
      </c>
      <c r="C960" s="1" t="s">
        <v>21</v>
      </c>
      <c r="D960" s="1" t="s">
        <v>47</v>
      </c>
      <c r="E960" s="1" t="s">
        <v>96</v>
      </c>
      <c r="F960" s="1" t="s">
        <v>103</v>
      </c>
      <c r="G960" s="1" t="s">
        <v>127</v>
      </c>
      <c r="H960" s="1" t="s">
        <v>518</v>
      </c>
      <c r="I960" s="1" t="s">
        <v>162</v>
      </c>
      <c r="J960" s="1" t="s">
        <v>101</v>
      </c>
      <c r="L960" s="1">
        <v>2772761</v>
      </c>
      <c r="M960" s="1" t="s">
        <v>1113</v>
      </c>
      <c r="N960" s="8">
        <f t="shared" si="335"/>
        <v>44291</v>
      </c>
      <c r="O960" s="8">
        <f>DATE(2023,12,22)</f>
        <v>45282</v>
      </c>
      <c r="P960" s="1">
        <v>2278</v>
      </c>
      <c r="Q960" s="1">
        <v>2000</v>
      </c>
      <c r="R960" s="1">
        <f t="shared" si="317"/>
        <v>2000</v>
      </c>
      <c r="S960" s="1">
        <v>1.5</v>
      </c>
      <c r="U960" s="1">
        <f t="shared" si="318"/>
        <v>992</v>
      </c>
      <c r="V960" s="7">
        <f t="shared" si="319"/>
        <v>2.0161290322580645</v>
      </c>
      <c r="W960" s="7">
        <f t="shared" si="320"/>
        <v>735.88709677419354</v>
      </c>
      <c r="X960" s="7">
        <f t="shared" si="321"/>
        <v>0.91985887096774188</v>
      </c>
      <c r="AA960" s="8">
        <f t="shared" si="322"/>
        <v>44927</v>
      </c>
      <c r="AB960" s="8">
        <f t="shared" si="323"/>
        <v>45291</v>
      </c>
      <c r="AC960" s="1">
        <v>24</v>
      </c>
      <c r="AD960" s="1">
        <f t="shared" si="324"/>
        <v>0</v>
      </c>
      <c r="AE960" s="1">
        <f t="shared" si="325"/>
        <v>0</v>
      </c>
      <c r="AF960" s="1">
        <f t="shared" si="326"/>
        <v>356</v>
      </c>
      <c r="AG960" s="1">
        <f t="shared" si="327"/>
        <v>0</v>
      </c>
      <c r="AH960" s="1">
        <f t="shared" si="328"/>
        <v>0</v>
      </c>
      <c r="AI960" s="5">
        <f t="shared" si="329"/>
        <v>0.97534246575342465</v>
      </c>
      <c r="AJ960" s="5">
        <f t="shared" si="330"/>
        <v>0.89717741935483863</v>
      </c>
      <c r="AK960" s="5">
        <f t="shared" si="331"/>
        <v>21.532258064516128</v>
      </c>
      <c r="AL960" s="5">
        <f t="shared" si="332"/>
        <v>32.298387096774192</v>
      </c>
      <c r="AM960" s="5">
        <f t="shared" si="333"/>
        <v>0</v>
      </c>
      <c r="AN960" s="5">
        <f t="shared" si="334"/>
        <v>32.298387096774192</v>
      </c>
      <c r="AO960" s="1" t="s">
        <v>102</v>
      </c>
    </row>
    <row r="961" spans="1:41" x14ac:dyDescent="0.25">
      <c r="A961" s="1" t="s">
        <v>19</v>
      </c>
      <c r="B961" s="1" t="s">
        <v>46</v>
      </c>
      <c r="C961" s="1" t="s">
        <v>21</v>
      </c>
      <c r="D961" s="1" t="s">
        <v>47</v>
      </c>
      <c r="E961" s="1" t="s">
        <v>96</v>
      </c>
      <c r="F961" s="1" t="s">
        <v>103</v>
      </c>
      <c r="G961" s="1" t="s">
        <v>127</v>
      </c>
      <c r="H961" s="1" t="s">
        <v>1090</v>
      </c>
      <c r="I961" s="1" t="s">
        <v>210</v>
      </c>
      <c r="J961" s="1" t="s">
        <v>101</v>
      </c>
      <c r="L961" s="1">
        <v>2772794</v>
      </c>
      <c r="M961" s="1" t="s">
        <v>1114</v>
      </c>
      <c r="N961" s="8">
        <f t="shared" si="335"/>
        <v>44291</v>
      </c>
      <c r="O961" s="8">
        <f>DATE(2024,7,12)</f>
        <v>45485</v>
      </c>
      <c r="P961" s="1">
        <v>2480</v>
      </c>
      <c r="Q961" s="1">
        <v>2400</v>
      </c>
      <c r="R961" s="1">
        <f t="shared" si="317"/>
        <v>2400</v>
      </c>
      <c r="S961" s="1">
        <v>2.5</v>
      </c>
      <c r="U961" s="1">
        <f t="shared" si="318"/>
        <v>1195</v>
      </c>
      <c r="V961" s="7">
        <f t="shared" si="319"/>
        <v>2.00836820083682</v>
      </c>
      <c r="W961" s="7">
        <f t="shared" si="320"/>
        <v>733.05439330543925</v>
      </c>
      <c r="X961" s="7">
        <f t="shared" si="321"/>
        <v>0.91631799163179906</v>
      </c>
      <c r="AA961" s="8">
        <f t="shared" si="322"/>
        <v>44927</v>
      </c>
      <c r="AB961" s="8">
        <f t="shared" si="323"/>
        <v>45291</v>
      </c>
      <c r="AC961" s="1">
        <v>19</v>
      </c>
      <c r="AD961" s="1">
        <f t="shared" si="324"/>
        <v>365</v>
      </c>
      <c r="AE961" s="1">
        <f t="shared" si="325"/>
        <v>0</v>
      </c>
      <c r="AF961" s="1">
        <f t="shared" si="326"/>
        <v>0</v>
      </c>
      <c r="AG961" s="1">
        <f t="shared" si="327"/>
        <v>0</v>
      </c>
      <c r="AH961" s="1">
        <f t="shared" si="328"/>
        <v>0</v>
      </c>
      <c r="AI961" s="5">
        <f t="shared" si="329"/>
        <v>1</v>
      </c>
      <c r="AJ961" s="5">
        <f t="shared" si="330"/>
        <v>0.91631799163179906</v>
      </c>
      <c r="AK961" s="5">
        <f t="shared" si="331"/>
        <v>17.410041841004183</v>
      </c>
      <c r="AL961" s="5">
        <f t="shared" si="332"/>
        <v>43.52510460251046</v>
      </c>
      <c r="AM961" s="5">
        <f t="shared" si="333"/>
        <v>0</v>
      </c>
      <c r="AN961" s="5">
        <f t="shared" si="334"/>
        <v>43.52510460251046</v>
      </c>
      <c r="AO961" s="1" t="s">
        <v>102</v>
      </c>
    </row>
    <row r="962" spans="1:41" x14ac:dyDescent="0.25">
      <c r="A962" s="1" t="s">
        <v>19</v>
      </c>
      <c r="B962" s="1" t="s">
        <v>46</v>
      </c>
      <c r="C962" s="1" t="s">
        <v>21</v>
      </c>
      <c r="D962" s="1" t="s">
        <v>47</v>
      </c>
      <c r="E962" s="1" t="s">
        <v>96</v>
      </c>
      <c r="F962" s="1" t="s">
        <v>103</v>
      </c>
      <c r="G962" s="1" t="s">
        <v>98</v>
      </c>
      <c r="H962" s="1" t="s">
        <v>99</v>
      </c>
      <c r="I962" s="1" t="s">
        <v>100</v>
      </c>
      <c r="J962" s="1" t="s">
        <v>101</v>
      </c>
      <c r="L962" s="1">
        <v>2772835</v>
      </c>
      <c r="M962" s="1" t="s">
        <v>1115</v>
      </c>
      <c r="N962" s="8">
        <f t="shared" si="335"/>
        <v>44291</v>
      </c>
      <c r="O962" s="8">
        <f>DATE(2025,3,28)</f>
        <v>45744</v>
      </c>
      <c r="P962" s="1">
        <v>3000</v>
      </c>
      <c r="Q962" s="1">
        <v>3000</v>
      </c>
      <c r="R962" s="1">
        <f t="shared" si="317"/>
        <v>3000</v>
      </c>
      <c r="S962" s="1">
        <v>1</v>
      </c>
      <c r="U962" s="1">
        <f t="shared" si="318"/>
        <v>1454</v>
      </c>
      <c r="V962" s="7">
        <f t="shared" si="319"/>
        <v>2.0632737276478679</v>
      </c>
      <c r="W962" s="7">
        <f t="shared" si="320"/>
        <v>753.09491059147172</v>
      </c>
      <c r="X962" s="7">
        <f t="shared" si="321"/>
        <v>0.94136863823933969</v>
      </c>
      <c r="AA962" s="8">
        <f t="shared" si="322"/>
        <v>44927</v>
      </c>
      <c r="AB962" s="8">
        <f t="shared" si="323"/>
        <v>45291</v>
      </c>
      <c r="AC962" s="1">
        <v>33</v>
      </c>
      <c r="AD962" s="1">
        <f t="shared" si="324"/>
        <v>365</v>
      </c>
      <c r="AE962" s="1">
        <f t="shared" si="325"/>
        <v>0</v>
      </c>
      <c r="AF962" s="1">
        <f t="shared" si="326"/>
        <v>0</v>
      </c>
      <c r="AG962" s="1">
        <f t="shared" si="327"/>
        <v>0</v>
      </c>
      <c r="AH962" s="1">
        <f t="shared" si="328"/>
        <v>0</v>
      </c>
      <c r="AI962" s="5">
        <f t="shared" si="329"/>
        <v>1</v>
      </c>
      <c r="AJ962" s="5">
        <f t="shared" si="330"/>
        <v>0.94136863823933969</v>
      </c>
      <c r="AK962" s="5">
        <f t="shared" si="331"/>
        <v>31.06516506189821</v>
      </c>
      <c r="AL962" s="5">
        <f t="shared" si="332"/>
        <v>31.06516506189821</v>
      </c>
      <c r="AM962" s="5">
        <f t="shared" si="333"/>
        <v>0</v>
      </c>
      <c r="AN962" s="5">
        <f t="shared" si="334"/>
        <v>31.06516506189821</v>
      </c>
      <c r="AO962" s="1" t="s">
        <v>102</v>
      </c>
    </row>
    <row r="963" spans="1:41" x14ac:dyDescent="0.25">
      <c r="A963" s="1" t="s">
        <v>19</v>
      </c>
      <c r="B963" s="1" t="s">
        <v>46</v>
      </c>
      <c r="C963" s="1" t="s">
        <v>21</v>
      </c>
      <c r="D963" s="1" t="s">
        <v>47</v>
      </c>
      <c r="E963" s="1" t="s">
        <v>96</v>
      </c>
      <c r="F963" s="1" t="s">
        <v>103</v>
      </c>
      <c r="G963" s="1" t="s">
        <v>320</v>
      </c>
      <c r="H963" s="1" t="s">
        <v>451</v>
      </c>
      <c r="I963" s="1" t="s">
        <v>174</v>
      </c>
      <c r="J963" s="1" t="s">
        <v>101</v>
      </c>
      <c r="L963" s="1">
        <v>2772847</v>
      </c>
      <c r="M963" s="1" t="s">
        <v>1116</v>
      </c>
      <c r="N963" s="8">
        <f t="shared" si="335"/>
        <v>44291</v>
      </c>
      <c r="O963" s="8">
        <f>DATE(2024,12,20)</f>
        <v>45646</v>
      </c>
      <c r="P963" s="1">
        <v>2980</v>
      </c>
      <c r="Q963" s="1">
        <v>3200</v>
      </c>
      <c r="R963" s="1">
        <f t="shared" si="317"/>
        <v>3200</v>
      </c>
      <c r="S963" s="1">
        <v>2.5</v>
      </c>
      <c r="U963" s="1">
        <f t="shared" si="318"/>
        <v>1356</v>
      </c>
      <c r="V963" s="7">
        <f t="shared" si="319"/>
        <v>2.1976401179941001</v>
      </c>
      <c r="W963" s="7">
        <f t="shared" si="320"/>
        <v>802.13864306784649</v>
      </c>
      <c r="X963" s="7">
        <f t="shared" si="321"/>
        <v>1.0026733038348081</v>
      </c>
      <c r="AA963" s="8">
        <f t="shared" si="322"/>
        <v>44927</v>
      </c>
      <c r="AB963" s="8">
        <f t="shared" si="323"/>
        <v>45291</v>
      </c>
      <c r="AC963" s="1">
        <v>24</v>
      </c>
      <c r="AD963" s="1">
        <f t="shared" si="324"/>
        <v>365</v>
      </c>
      <c r="AE963" s="1">
        <f t="shared" si="325"/>
        <v>0</v>
      </c>
      <c r="AF963" s="1">
        <f t="shared" si="326"/>
        <v>0</v>
      </c>
      <c r="AG963" s="1">
        <f t="shared" si="327"/>
        <v>0</v>
      </c>
      <c r="AH963" s="1">
        <f t="shared" si="328"/>
        <v>0</v>
      </c>
      <c r="AI963" s="5">
        <f t="shared" si="329"/>
        <v>1</v>
      </c>
      <c r="AJ963" s="5">
        <f t="shared" si="330"/>
        <v>1.0026733038348081</v>
      </c>
      <c r="AK963" s="5">
        <f t="shared" si="331"/>
        <v>24.064159292035395</v>
      </c>
      <c r="AL963" s="5">
        <f t="shared" si="332"/>
        <v>60.160398230088489</v>
      </c>
      <c r="AM963" s="5">
        <f t="shared" si="333"/>
        <v>0</v>
      </c>
      <c r="AN963" s="5">
        <f t="shared" si="334"/>
        <v>60.160398230088489</v>
      </c>
      <c r="AO963" s="1" t="s">
        <v>102</v>
      </c>
    </row>
    <row r="964" spans="1:41" x14ac:dyDescent="0.25">
      <c r="A964" s="1" t="s">
        <v>19</v>
      </c>
      <c r="B964" s="1" t="s">
        <v>46</v>
      </c>
      <c r="C964" s="1" t="s">
        <v>21</v>
      </c>
      <c r="D964" s="1" t="s">
        <v>47</v>
      </c>
      <c r="E964" s="1" t="s">
        <v>96</v>
      </c>
      <c r="F964" s="1" t="s">
        <v>103</v>
      </c>
      <c r="G964" s="1" t="s">
        <v>114</v>
      </c>
      <c r="H964" s="1" t="s">
        <v>892</v>
      </c>
      <c r="I964" s="1" t="s">
        <v>194</v>
      </c>
      <c r="J964" s="1" t="s">
        <v>101</v>
      </c>
      <c r="K964" s="1" t="s">
        <v>175</v>
      </c>
      <c r="L964" s="1">
        <v>2813926</v>
      </c>
      <c r="M964" s="1" t="s">
        <v>1117</v>
      </c>
      <c r="N964" s="8">
        <f>DATE(2021,10,18)</f>
        <v>44487</v>
      </c>
      <c r="O964" s="8">
        <f>DATE(2023,10,20)</f>
        <v>45219</v>
      </c>
      <c r="P964" s="1">
        <v>1224</v>
      </c>
      <c r="Q964" s="1">
        <v>1200</v>
      </c>
      <c r="R964" s="1">
        <f t="shared" si="317"/>
        <v>1200</v>
      </c>
      <c r="S964" s="1">
        <v>2.5</v>
      </c>
      <c r="U964" s="1">
        <f t="shared" si="318"/>
        <v>733</v>
      </c>
      <c r="V964" s="7">
        <f t="shared" si="319"/>
        <v>1.6371077762619373</v>
      </c>
      <c r="W964" s="7">
        <f t="shared" si="320"/>
        <v>597.54433833560711</v>
      </c>
      <c r="X964" s="7">
        <f t="shared" si="321"/>
        <v>0.74693042291950884</v>
      </c>
      <c r="AA964" s="8">
        <f t="shared" si="322"/>
        <v>44927</v>
      </c>
      <c r="AB964" s="8">
        <f t="shared" si="323"/>
        <v>45291</v>
      </c>
      <c r="AC964" s="1">
        <v>9</v>
      </c>
      <c r="AD964" s="1">
        <f t="shared" si="324"/>
        <v>0</v>
      </c>
      <c r="AE964" s="1">
        <f t="shared" si="325"/>
        <v>0</v>
      </c>
      <c r="AF964" s="1">
        <f t="shared" si="326"/>
        <v>293</v>
      </c>
      <c r="AG964" s="1">
        <f t="shared" si="327"/>
        <v>0</v>
      </c>
      <c r="AH964" s="1">
        <f t="shared" si="328"/>
        <v>0</v>
      </c>
      <c r="AI964" s="5">
        <f t="shared" si="329"/>
        <v>0.80273972602739729</v>
      </c>
      <c r="AJ964" s="5">
        <f t="shared" si="330"/>
        <v>0.59959072305593453</v>
      </c>
      <c r="AK964" s="5">
        <f t="shared" si="331"/>
        <v>5.3963165075034105</v>
      </c>
      <c r="AL964" s="5">
        <f t="shared" si="332"/>
        <v>13.490791268758526</v>
      </c>
      <c r="AM964" s="5">
        <f t="shared" si="333"/>
        <v>0</v>
      </c>
      <c r="AN964" s="5">
        <f t="shared" si="334"/>
        <v>13.490791268758526</v>
      </c>
      <c r="AO964" s="1" t="s">
        <v>102</v>
      </c>
    </row>
    <row r="965" spans="1:41" x14ac:dyDescent="0.25">
      <c r="A965" s="1" t="s">
        <v>19</v>
      </c>
      <c r="B965" s="1" t="s">
        <v>46</v>
      </c>
      <c r="C965" s="1" t="s">
        <v>21</v>
      </c>
      <c r="D965" s="1" t="s">
        <v>47</v>
      </c>
      <c r="E965" s="1" t="s">
        <v>96</v>
      </c>
      <c r="F965" s="1" t="s">
        <v>103</v>
      </c>
      <c r="G965" s="1" t="s">
        <v>114</v>
      </c>
      <c r="H965" s="1" t="s">
        <v>115</v>
      </c>
      <c r="I965" s="1" t="s">
        <v>100</v>
      </c>
      <c r="J965" s="1" t="s">
        <v>101</v>
      </c>
      <c r="K965" s="1" t="s">
        <v>116</v>
      </c>
      <c r="L965" s="1">
        <v>2855736</v>
      </c>
      <c r="M965" s="1" t="s">
        <v>1118</v>
      </c>
      <c r="N965" s="8">
        <f t="shared" ref="N965:N970" si="336">DATE(2022,2,7)</f>
        <v>44599</v>
      </c>
      <c r="O965" s="8">
        <f>DATE(2024,12,20)</f>
        <v>45646</v>
      </c>
      <c r="P965" s="1">
        <v>3424</v>
      </c>
      <c r="Q965" s="1">
        <v>800</v>
      </c>
      <c r="R965" s="1">
        <f t="shared" si="317"/>
        <v>3000</v>
      </c>
      <c r="S965" s="1">
        <v>1.5</v>
      </c>
      <c r="U965" s="1">
        <f t="shared" si="318"/>
        <v>1048</v>
      </c>
      <c r="V965" s="7">
        <f t="shared" si="319"/>
        <v>2.8625954198473282</v>
      </c>
      <c r="W965" s="7">
        <f t="shared" si="320"/>
        <v>1044.8473282442749</v>
      </c>
      <c r="X965" s="7">
        <f t="shared" si="321"/>
        <v>1.3060591603053435</v>
      </c>
      <c r="AA965" s="8">
        <f t="shared" si="322"/>
        <v>44927</v>
      </c>
      <c r="AB965" s="8">
        <f t="shared" si="323"/>
        <v>45291</v>
      </c>
      <c r="AC965" s="1">
        <v>61</v>
      </c>
      <c r="AD965" s="1">
        <f t="shared" si="324"/>
        <v>365</v>
      </c>
      <c r="AE965" s="1">
        <f t="shared" si="325"/>
        <v>0</v>
      </c>
      <c r="AF965" s="1">
        <f t="shared" si="326"/>
        <v>0</v>
      </c>
      <c r="AG965" s="1">
        <f t="shared" si="327"/>
        <v>0</v>
      </c>
      <c r="AH965" s="1">
        <f t="shared" si="328"/>
        <v>0</v>
      </c>
      <c r="AI965" s="5">
        <f t="shared" si="329"/>
        <v>1</v>
      </c>
      <c r="AJ965" s="5">
        <f t="shared" si="330"/>
        <v>1.3060591603053435</v>
      </c>
      <c r="AK965" s="5">
        <f t="shared" si="331"/>
        <v>79.669608778625957</v>
      </c>
      <c r="AL965" s="5">
        <f t="shared" si="332"/>
        <v>119.50441316793894</v>
      </c>
      <c r="AM965" s="5">
        <f t="shared" si="333"/>
        <v>0</v>
      </c>
      <c r="AN965" s="5">
        <f t="shared" si="334"/>
        <v>119.50441316793894</v>
      </c>
      <c r="AO965" s="1" t="s">
        <v>102</v>
      </c>
    </row>
    <row r="966" spans="1:41" x14ac:dyDescent="0.25">
      <c r="A966" s="1" t="s">
        <v>19</v>
      </c>
      <c r="B966" s="1" t="s">
        <v>46</v>
      </c>
      <c r="C966" s="1" t="s">
        <v>21</v>
      </c>
      <c r="D966" s="1" t="s">
        <v>47</v>
      </c>
      <c r="E966" s="1" t="s">
        <v>96</v>
      </c>
      <c r="F966" s="1" t="s">
        <v>103</v>
      </c>
      <c r="G966" s="1" t="s">
        <v>114</v>
      </c>
      <c r="H966" s="1" t="s">
        <v>257</v>
      </c>
      <c r="I966" s="1" t="s">
        <v>157</v>
      </c>
      <c r="J966" s="1" t="s">
        <v>101</v>
      </c>
      <c r="K966" s="1" t="s">
        <v>116</v>
      </c>
      <c r="L966" s="1">
        <v>2855756</v>
      </c>
      <c r="M966" s="1" t="s">
        <v>1119</v>
      </c>
      <c r="N966" s="8">
        <f t="shared" si="336"/>
        <v>44599</v>
      </c>
      <c r="O966" s="8">
        <f>DATE(2024,12,20)</f>
        <v>45646</v>
      </c>
      <c r="P966" s="1">
        <v>3400</v>
      </c>
      <c r="Q966" s="1">
        <v>1200</v>
      </c>
      <c r="R966" s="1">
        <f t="shared" si="317"/>
        <v>3200</v>
      </c>
      <c r="S966" s="1">
        <v>2.5</v>
      </c>
      <c r="U966" s="1">
        <f t="shared" si="318"/>
        <v>1048</v>
      </c>
      <c r="V966" s="7">
        <f t="shared" si="319"/>
        <v>3.053435114503817</v>
      </c>
      <c r="W966" s="7">
        <f t="shared" si="320"/>
        <v>1114.5038167938933</v>
      </c>
      <c r="X966" s="7">
        <f t="shared" si="321"/>
        <v>1.3931297709923667</v>
      </c>
      <c r="AA966" s="8">
        <f t="shared" si="322"/>
        <v>44927</v>
      </c>
      <c r="AB966" s="8">
        <f t="shared" si="323"/>
        <v>45291</v>
      </c>
      <c r="AC966" s="1">
        <v>48</v>
      </c>
      <c r="AD966" s="1">
        <f t="shared" si="324"/>
        <v>365</v>
      </c>
      <c r="AE966" s="1">
        <f t="shared" si="325"/>
        <v>0</v>
      </c>
      <c r="AF966" s="1">
        <f t="shared" si="326"/>
        <v>0</v>
      </c>
      <c r="AG966" s="1">
        <f t="shared" si="327"/>
        <v>0</v>
      </c>
      <c r="AH966" s="1">
        <f t="shared" si="328"/>
        <v>0</v>
      </c>
      <c r="AI966" s="5">
        <f t="shared" si="329"/>
        <v>1</v>
      </c>
      <c r="AJ966" s="5">
        <f t="shared" si="330"/>
        <v>1.3931297709923667</v>
      </c>
      <c r="AK966" s="5">
        <f t="shared" si="331"/>
        <v>66.870229007633597</v>
      </c>
      <c r="AL966" s="5">
        <f t="shared" si="332"/>
        <v>167.175572519084</v>
      </c>
      <c r="AM966" s="5">
        <f t="shared" si="333"/>
        <v>0</v>
      </c>
      <c r="AN966" s="5">
        <f t="shared" si="334"/>
        <v>167.175572519084</v>
      </c>
      <c r="AO966" s="1" t="s">
        <v>102</v>
      </c>
    </row>
    <row r="967" spans="1:41" x14ac:dyDescent="0.25">
      <c r="A967" s="1" t="s">
        <v>19</v>
      </c>
      <c r="B967" s="1" t="s">
        <v>46</v>
      </c>
      <c r="C967" s="1" t="s">
        <v>21</v>
      </c>
      <c r="D967" s="1" t="s">
        <v>47</v>
      </c>
      <c r="E967" s="1" t="s">
        <v>96</v>
      </c>
      <c r="F967" s="1" t="s">
        <v>103</v>
      </c>
      <c r="G967" s="1" t="s">
        <v>114</v>
      </c>
      <c r="H967" s="1" t="s">
        <v>247</v>
      </c>
      <c r="I967" s="1" t="s">
        <v>162</v>
      </c>
      <c r="J967" s="1" t="s">
        <v>101</v>
      </c>
      <c r="K967" s="1" t="s">
        <v>116</v>
      </c>
      <c r="L967" s="1">
        <v>2855760</v>
      </c>
      <c r="M967" s="1" t="s">
        <v>1120</v>
      </c>
      <c r="N967" s="8">
        <f t="shared" si="336"/>
        <v>44599</v>
      </c>
      <c r="O967" s="8">
        <f>DATE(2024,12,20)</f>
        <v>45646</v>
      </c>
      <c r="P967" s="1">
        <v>3560</v>
      </c>
      <c r="Q967" s="1">
        <v>1200</v>
      </c>
      <c r="R967" s="1">
        <f t="shared" si="317"/>
        <v>3200</v>
      </c>
      <c r="S967" s="1">
        <v>1.5</v>
      </c>
      <c r="U967" s="1">
        <f t="shared" si="318"/>
        <v>1048</v>
      </c>
      <c r="V967" s="7">
        <f t="shared" si="319"/>
        <v>3.053435114503817</v>
      </c>
      <c r="W967" s="7">
        <f t="shared" si="320"/>
        <v>1114.5038167938933</v>
      </c>
      <c r="X967" s="7">
        <f t="shared" si="321"/>
        <v>1.3931297709923667</v>
      </c>
      <c r="AA967" s="8">
        <f t="shared" si="322"/>
        <v>44927</v>
      </c>
      <c r="AB967" s="8">
        <f t="shared" si="323"/>
        <v>45291</v>
      </c>
      <c r="AC967" s="1">
        <v>63</v>
      </c>
      <c r="AD967" s="1">
        <f t="shared" si="324"/>
        <v>365</v>
      </c>
      <c r="AE967" s="1">
        <f t="shared" si="325"/>
        <v>0</v>
      </c>
      <c r="AF967" s="1">
        <f t="shared" si="326"/>
        <v>0</v>
      </c>
      <c r="AG967" s="1">
        <f t="shared" si="327"/>
        <v>0</v>
      </c>
      <c r="AH967" s="1">
        <f t="shared" si="328"/>
        <v>0</v>
      </c>
      <c r="AI967" s="5">
        <f t="shared" si="329"/>
        <v>1</v>
      </c>
      <c r="AJ967" s="5">
        <f t="shared" si="330"/>
        <v>1.3931297709923667</v>
      </c>
      <c r="AK967" s="5">
        <f t="shared" si="331"/>
        <v>87.767175572519108</v>
      </c>
      <c r="AL967" s="5">
        <f t="shared" si="332"/>
        <v>131.65076335877865</v>
      </c>
      <c r="AM967" s="5">
        <f t="shared" si="333"/>
        <v>0</v>
      </c>
      <c r="AN967" s="5">
        <f t="shared" si="334"/>
        <v>131.65076335877865</v>
      </c>
      <c r="AO967" s="1" t="s">
        <v>102</v>
      </c>
    </row>
    <row r="968" spans="1:41" x14ac:dyDescent="0.25">
      <c r="A968" s="1" t="s">
        <v>19</v>
      </c>
      <c r="B968" s="1" t="s">
        <v>46</v>
      </c>
      <c r="C968" s="1" t="s">
        <v>21</v>
      </c>
      <c r="D968" s="1" t="s">
        <v>47</v>
      </c>
      <c r="E968" s="1" t="s">
        <v>96</v>
      </c>
      <c r="F968" s="1" t="s">
        <v>103</v>
      </c>
      <c r="G968" s="1" t="s">
        <v>320</v>
      </c>
      <c r="H968" s="1" t="s">
        <v>451</v>
      </c>
      <c r="I968" s="1" t="s">
        <v>174</v>
      </c>
      <c r="J968" s="1" t="s">
        <v>101</v>
      </c>
      <c r="L968" s="1">
        <v>2855831</v>
      </c>
      <c r="M968" s="1" t="s">
        <v>1121</v>
      </c>
      <c r="N968" s="8">
        <f t="shared" si="336"/>
        <v>44599</v>
      </c>
      <c r="O968" s="8">
        <f>DATE(2025,12,19)</f>
        <v>46010</v>
      </c>
      <c r="P968" s="1">
        <v>2980</v>
      </c>
      <c r="Q968" s="1">
        <v>3200</v>
      </c>
      <c r="R968" s="1">
        <f t="shared" si="317"/>
        <v>3200</v>
      </c>
      <c r="S968" s="1">
        <v>2.5</v>
      </c>
      <c r="U968" s="1">
        <f t="shared" si="318"/>
        <v>1412</v>
      </c>
      <c r="V968" s="7">
        <f t="shared" si="319"/>
        <v>2.1104815864022664</v>
      </c>
      <c r="W968" s="7">
        <f t="shared" si="320"/>
        <v>770.32577903682727</v>
      </c>
      <c r="X968" s="7">
        <f t="shared" si="321"/>
        <v>0.96290722379603411</v>
      </c>
      <c r="AA968" s="8">
        <f t="shared" si="322"/>
        <v>44927</v>
      </c>
      <c r="AB968" s="8">
        <f t="shared" si="323"/>
        <v>45291</v>
      </c>
      <c r="AC968" s="1">
        <v>5</v>
      </c>
      <c r="AD968" s="1">
        <f t="shared" si="324"/>
        <v>365</v>
      </c>
      <c r="AE968" s="1">
        <f t="shared" si="325"/>
        <v>0</v>
      </c>
      <c r="AF968" s="1">
        <f t="shared" si="326"/>
        <v>0</v>
      </c>
      <c r="AG968" s="1">
        <f t="shared" si="327"/>
        <v>0</v>
      </c>
      <c r="AH968" s="1">
        <f t="shared" si="328"/>
        <v>0</v>
      </c>
      <c r="AI968" s="5">
        <f t="shared" si="329"/>
        <v>1</v>
      </c>
      <c r="AJ968" s="5">
        <f t="shared" si="330"/>
        <v>0.96290722379603411</v>
      </c>
      <c r="AK968" s="5">
        <f t="shared" si="331"/>
        <v>4.8145361189801701</v>
      </c>
      <c r="AL968" s="5">
        <f t="shared" si="332"/>
        <v>12.036340297450426</v>
      </c>
      <c r="AM968" s="5">
        <f t="shared" si="333"/>
        <v>0</v>
      </c>
      <c r="AN968" s="5">
        <f t="shared" si="334"/>
        <v>12.036340297450426</v>
      </c>
      <c r="AO968" s="1" t="s">
        <v>102</v>
      </c>
    </row>
    <row r="969" spans="1:41" x14ac:dyDescent="0.25">
      <c r="A969" s="1" t="s">
        <v>19</v>
      </c>
      <c r="B969" s="1" t="s">
        <v>46</v>
      </c>
      <c r="C969" s="1" t="s">
        <v>21</v>
      </c>
      <c r="D969" s="1" t="s">
        <v>47</v>
      </c>
      <c r="E969" s="1" t="s">
        <v>96</v>
      </c>
      <c r="F969" s="1" t="s">
        <v>103</v>
      </c>
      <c r="G969" s="1" t="s">
        <v>127</v>
      </c>
      <c r="H969" s="1" t="s">
        <v>1090</v>
      </c>
      <c r="I969" s="1" t="s">
        <v>210</v>
      </c>
      <c r="J969" s="1" t="s">
        <v>101</v>
      </c>
      <c r="L969" s="1">
        <v>2855847</v>
      </c>
      <c r="M969" s="1" t="s">
        <v>1122</v>
      </c>
      <c r="N969" s="8">
        <f t="shared" si="336"/>
        <v>44599</v>
      </c>
      <c r="O969" s="8">
        <f>DATE(2025,7,18)</f>
        <v>45856</v>
      </c>
      <c r="P969" s="1">
        <v>2480</v>
      </c>
      <c r="Q969" s="1">
        <v>2400</v>
      </c>
      <c r="R969" s="1">
        <f t="shared" si="317"/>
        <v>2400</v>
      </c>
      <c r="S969" s="1">
        <v>2.5</v>
      </c>
      <c r="U969" s="1">
        <f t="shared" si="318"/>
        <v>1258</v>
      </c>
      <c r="V969" s="7">
        <f t="shared" si="319"/>
        <v>1.9077901430842608</v>
      </c>
      <c r="W969" s="7">
        <f t="shared" si="320"/>
        <v>696.3434022257552</v>
      </c>
      <c r="X969" s="7">
        <f t="shared" si="321"/>
        <v>0.87042925278219396</v>
      </c>
      <c r="AA969" s="8">
        <f t="shared" si="322"/>
        <v>44927</v>
      </c>
      <c r="AB969" s="8">
        <f t="shared" si="323"/>
        <v>45291</v>
      </c>
      <c r="AC969" s="1">
        <v>18</v>
      </c>
      <c r="AD969" s="1">
        <f t="shared" si="324"/>
        <v>365</v>
      </c>
      <c r="AE969" s="1">
        <f t="shared" si="325"/>
        <v>0</v>
      </c>
      <c r="AF969" s="1">
        <f t="shared" si="326"/>
        <v>0</v>
      </c>
      <c r="AG969" s="1">
        <f t="shared" si="327"/>
        <v>0</v>
      </c>
      <c r="AH969" s="1">
        <f t="shared" si="328"/>
        <v>0</v>
      </c>
      <c r="AI969" s="5">
        <f t="shared" si="329"/>
        <v>1</v>
      </c>
      <c r="AJ969" s="5">
        <f t="shared" si="330"/>
        <v>0.87042925278219396</v>
      </c>
      <c r="AK969" s="5">
        <f t="shared" si="331"/>
        <v>15.667726550079491</v>
      </c>
      <c r="AL969" s="5">
        <f t="shared" si="332"/>
        <v>39.169316375198726</v>
      </c>
      <c r="AM969" s="5">
        <f t="shared" si="333"/>
        <v>0</v>
      </c>
      <c r="AN969" s="5">
        <f t="shared" si="334"/>
        <v>39.169316375198726</v>
      </c>
      <c r="AO969" s="1" t="s">
        <v>102</v>
      </c>
    </row>
    <row r="970" spans="1:41" x14ac:dyDescent="0.25">
      <c r="A970" s="1" t="s">
        <v>19</v>
      </c>
      <c r="B970" s="1" t="s">
        <v>46</v>
      </c>
      <c r="C970" s="1" t="s">
        <v>21</v>
      </c>
      <c r="D970" s="1" t="s">
        <v>47</v>
      </c>
      <c r="E970" s="1" t="s">
        <v>96</v>
      </c>
      <c r="F970" s="1" t="s">
        <v>103</v>
      </c>
      <c r="G970" s="1" t="s">
        <v>98</v>
      </c>
      <c r="H970" s="1" t="s">
        <v>99</v>
      </c>
      <c r="I970" s="1" t="s">
        <v>100</v>
      </c>
      <c r="J970" s="1" t="s">
        <v>101</v>
      </c>
      <c r="L970" s="1">
        <v>2855868</v>
      </c>
      <c r="M970" s="1" t="s">
        <v>1073</v>
      </c>
      <c r="N970" s="8">
        <f t="shared" si="336"/>
        <v>44599</v>
      </c>
      <c r="O970" s="8">
        <f>DATE(2025,12,31)</f>
        <v>46022</v>
      </c>
      <c r="P970" s="1">
        <v>3000</v>
      </c>
      <c r="Q970" s="1">
        <v>3000</v>
      </c>
      <c r="R970" s="1">
        <f t="shared" si="317"/>
        <v>3000</v>
      </c>
      <c r="S970" s="1">
        <v>1</v>
      </c>
      <c r="U970" s="1">
        <f t="shared" si="318"/>
        <v>1424</v>
      </c>
      <c r="V970" s="7">
        <f t="shared" si="319"/>
        <v>2.106741573033708</v>
      </c>
      <c r="W970" s="7">
        <f t="shared" si="320"/>
        <v>768.9606741573034</v>
      </c>
      <c r="X970" s="7">
        <f t="shared" si="321"/>
        <v>0.9612008426966292</v>
      </c>
      <c r="AA970" s="8">
        <f t="shared" si="322"/>
        <v>44927</v>
      </c>
      <c r="AB970" s="8">
        <f t="shared" si="323"/>
        <v>45291</v>
      </c>
      <c r="AC970" s="1">
        <v>28</v>
      </c>
      <c r="AD970" s="1">
        <f t="shared" si="324"/>
        <v>365</v>
      </c>
      <c r="AE970" s="1">
        <f t="shared" si="325"/>
        <v>0</v>
      </c>
      <c r="AF970" s="1">
        <f t="shared" si="326"/>
        <v>0</v>
      </c>
      <c r="AG970" s="1">
        <f t="shared" si="327"/>
        <v>0</v>
      </c>
      <c r="AH970" s="1">
        <f t="shared" si="328"/>
        <v>0</v>
      </c>
      <c r="AI970" s="5">
        <f t="shared" si="329"/>
        <v>1</v>
      </c>
      <c r="AJ970" s="5">
        <f t="shared" si="330"/>
        <v>0.9612008426966292</v>
      </c>
      <c r="AK970" s="5">
        <f t="shared" si="331"/>
        <v>26.913623595505619</v>
      </c>
      <c r="AL970" s="5">
        <f t="shared" si="332"/>
        <v>26.913623595505619</v>
      </c>
      <c r="AM970" s="5">
        <f t="shared" si="333"/>
        <v>0</v>
      </c>
      <c r="AN970" s="5">
        <f t="shared" si="334"/>
        <v>26.913623595505619</v>
      </c>
      <c r="AO970" s="1" t="s">
        <v>102</v>
      </c>
    </row>
    <row r="971" spans="1:41" x14ac:dyDescent="0.25">
      <c r="A971" s="1" t="s">
        <v>19</v>
      </c>
      <c r="B971" s="1" t="s">
        <v>46</v>
      </c>
      <c r="C971" s="1" t="s">
        <v>21</v>
      </c>
      <c r="D971" s="1" t="s">
        <v>47</v>
      </c>
      <c r="E971" s="1" t="s">
        <v>96</v>
      </c>
      <c r="F971" s="1" t="s">
        <v>103</v>
      </c>
      <c r="G971" s="1" t="s">
        <v>98</v>
      </c>
      <c r="H971" s="1" t="s">
        <v>1123</v>
      </c>
      <c r="I971" s="1" t="s">
        <v>162</v>
      </c>
      <c r="J971" s="1" t="s">
        <v>101</v>
      </c>
      <c r="L971" s="1">
        <v>2856477</v>
      </c>
      <c r="M971" s="1" t="s">
        <v>1124</v>
      </c>
      <c r="N971" s="8">
        <f>DATE(2022,3,1)</f>
        <v>44621</v>
      </c>
      <c r="O971" s="8">
        <f>DATE(2025,12,31)</f>
        <v>46022</v>
      </c>
      <c r="P971" s="1">
        <v>3000</v>
      </c>
      <c r="Q971" s="1">
        <v>3000</v>
      </c>
      <c r="R971" s="1">
        <f t="shared" si="317"/>
        <v>3000</v>
      </c>
      <c r="S971" s="1">
        <v>1.5</v>
      </c>
      <c r="U971" s="1">
        <f t="shared" si="318"/>
        <v>1402</v>
      </c>
      <c r="V971" s="7">
        <f t="shared" si="319"/>
        <v>2.1398002853067046</v>
      </c>
      <c r="W971" s="7">
        <f t="shared" si="320"/>
        <v>781.02710413694717</v>
      </c>
      <c r="X971" s="7">
        <f t="shared" si="321"/>
        <v>0.97628388017118395</v>
      </c>
      <c r="AA971" s="8">
        <f t="shared" si="322"/>
        <v>44927</v>
      </c>
      <c r="AB971" s="8">
        <f t="shared" si="323"/>
        <v>45291</v>
      </c>
      <c r="AC971" s="1">
        <v>33</v>
      </c>
      <c r="AD971" s="1">
        <f t="shared" si="324"/>
        <v>365</v>
      </c>
      <c r="AE971" s="1">
        <f t="shared" si="325"/>
        <v>0</v>
      </c>
      <c r="AF971" s="1">
        <f t="shared" si="326"/>
        <v>0</v>
      </c>
      <c r="AG971" s="1">
        <f t="shared" si="327"/>
        <v>0</v>
      </c>
      <c r="AH971" s="1">
        <f t="shared" si="328"/>
        <v>0</v>
      </c>
      <c r="AI971" s="5">
        <f t="shared" si="329"/>
        <v>1</v>
      </c>
      <c r="AJ971" s="5">
        <f t="shared" si="330"/>
        <v>0.97628388017118395</v>
      </c>
      <c r="AK971" s="5">
        <f t="shared" si="331"/>
        <v>32.217368045649067</v>
      </c>
      <c r="AL971" s="5">
        <f t="shared" si="332"/>
        <v>48.326052068473601</v>
      </c>
      <c r="AM971" s="5">
        <f t="shared" si="333"/>
        <v>0</v>
      </c>
      <c r="AN971" s="5">
        <f t="shared" si="334"/>
        <v>48.326052068473601</v>
      </c>
      <c r="AO971" s="1" t="s">
        <v>102</v>
      </c>
    </row>
    <row r="972" spans="1:41" x14ac:dyDescent="0.25">
      <c r="A972" s="1" t="s">
        <v>19</v>
      </c>
      <c r="B972" s="1" t="s">
        <v>46</v>
      </c>
      <c r="C972" s="1" t="s">
        <v>21</v>
      </c>
      <c r="D972" s="1" t="s">
        <v>47</v>
      </c>
      <c r="E972" s="1" t="s">
        <v>96</v>
      </c>
      <c r="F972" s="1" t="s">
        <v>103</v>
      </c>
      <c r="G972" s="1" t="s">
        <v>155</v>
      </c>
      <c r="H972" s="1" t="s">
        <v>1125</v>
      </c>
      <c r="I972" s="1" t="s">
        <v>174</v>
      </c>
      <c r="J972" s="1" t="s">
        <v>101</v>
      </c>
      <c r="L972" s="1">
        <v>2859045</v>
      </c>
      <c r="M972" s="1" t="s">
        <v>1126</v>
      </c>
      <c r="N972" s="8">
        <f>DATE(2022,3,4)</f>
        <v>44624</v>
      </c>
      <c r="O972" s="8">
        <f>DATE(2022,7,30)</f>
        <v>44772</v>
      </c>
      <c r="P972" s="1">
        <v>160</v>
      </c>
      <c r="Q972" s="1">
        <v>160</v>
      </c>
      <c r="R972" s="1">
        <f t="shared" si="317"/>
        <v>160</v>
      </c>
      <c r="S972" s="1">
        <v>1</v>
      </c>
      <c r="U972" s="1">
        <f t="shared" si="318"/>
        <v>149</v>
      </c>
      <c r="V972" s="7">
        <f t="shared" si="319"/>
        <v>1.0738255033557047</v>
      </c>
      <c r="W972" s="7">
        <f t="shared" si="320"/>
        <v>160</v>
      </c>
      <c r="X972" s="7">
        <f t="shared" si="321"/>
        <v>0.2</v>
      </c>
      <c r="AA972" s="8">
        <f t="shared" si="322"/>
        <v>44927</v>
      </c>
      <c r="AB972" s="8">
        <f t="shared" si="323"/>
        <v>45291</v>
      </c>
      <c r="AC972" s="1">
        <v>0</v>
      </c>
      <c r="AD972" s="1">
        <f t="shared" si="324"/>
        <v>0</v>
      </c>
      <c r="AE972" s="1">
        <f t="shared" si="325"/>
        <v>0</v>
      </c>
      <c r="AF972" s="1">
        <f t="shared" si="326"/>
        <v>0</v>
      </c>
      <c r="AG972" s="1">
        <f t="shared" si="327"/>
        <v>0</v>
      </c>
      <c r="AH972" s="1">
        <f t="shared" si="328"/>
        <v>182.5</v>
      </c>
      <c r="AI972" s="5">
        <f t="shared" si="329"/>
        <v>1.2248322147651007</v>
      </c>
      <c r="AJ972" s="5">
        <f t="shared" si="330"/>
        <v>0.24496644295302017</v>
      </c>
      <c r="AK972" s="5">
        <f t="shared" si="331"/>
        <v>0</v>
      </c>
      <c r="AL972" s="5">
        <f t="shared" si="332"/>
        <v>0</v>
      </c>
      <c r="AM972" s="5">
        <f t="shared" si="333"/>
        <v>0</v>
      </c>
      <c r="AN972" s="5">
        <f t="shared" si="334"/>
        <v>0</v>
      </c>
      <c r="AO972" s="1" t="s">
        <v>102</v>
      </c>
    </row>
    <row r="973" spans="1:41" x14ac:dyDescent="0.25">
      <c r="A973" s="1" t="s">
        <v>19</v>
      </c>
      <c r="B973" s="1" t="s">
        <v>46</v>
      </c>
      <c r="C973" s="1" t="s">
        <v>21</v>
      </c>
      <c r="D973" s="1" t="s">
        <v>47</v>
      </c>
      <c r="E973" s="1" t="s">
        <v>96</v>
      </c>
      <c r="F973" s="1" t="s">
        <v>103</v>
      </c>
      <c r="G973" s="1" t="s">
        <v>114</v>
      </c>
      <c r="H973" s="1" t="s">
        <v>247</v>
      </c>
      <c r="I973" s="1" t="s">
        <v>162</v>
      </c>
      <c r="J973" s="1" t="s">
        <v>101</v>
      </c>
      <c r="K973" s="1" t="s">
        <v>116</v>
      </c>
      <c r="L973" s="1">
        <v>2966809</v>
      </c>
      <c r="M973" s="1" t="s">
        <v>1127</v>
      </c>
      <c r="N973" s="8">
        <f t="shared" ref="N973:N978" si="337">DATE(2023,2,6)</f>
        <v>44963</v>
      </c>
      <c r="O973" s="8">
        <f>DATE(2025,12,19)</f>
        <v>46010</v>
      </c>
      <c r="P973" s="1">
        <v>3400</v>
      </c>
      <c r="Q973" s="1">
        <v>1200</v>
      </c>
      <c r="R973" s="1">
        <f t="shared" si="317"/>
        <v>3200</v>
      </c>
      <c r="S973" s="1">
        <v>1.5</v>
      </c>
      <c r="U973" s="1">
        <f t="shared" si="318"/>
        <v>1048</v>
      </c>
      <c r="V973" s="7">
        <f t="shared" si="319"/>
        <v>3.053435114503817</v>
      </c>
      <c r="W973" s="7">
        <f t="shared" si="320"/>
        <v>1114.5038167938933</v>
      </c>
      <c r="X973" s="7">
        <f t="shared" si="321"/>
        <v>1.3931297709923667</v>
      </c>
      <c r="AA973" s="8">
        <f t="shared" si="322"/>
        <v>44927</v>
      </c>
      <c r="AB973" s="8">
        <f t="shared" si="323"/>
        <v>45291</v>
      </c>
      <c r="AC973" s="1">
        <v>63</v>
      </c>
      <c r="AD973" s="1">
        <f t="shared" si="324"/>
        <v>0</v>
      </c>
      <c r="AE973" s="1">
        <f t="shared" si="325"/>
        <v>329</v>
      </c>
      <c r="AF973" s="1">
        <f t="shared" si="326"/>
        <v>0</v>
      </c>
      <c r="AG973" s="1">
        <f t="shared" si="327"/>
        <v>0</v>
      </c>
      <c r="AH973" s="1">
        <f t="shared" si="328"/>
        <v>0</v>
      </c>
      <c r="AI973" s="5">
        <f t="shared" si="329"/>
        <v>0.90136986301369859</v>
      </c>
      <c r="AJ973" s="5">
        <f t="shared" si="330"/>
        <v>1.2557251908396949</v>
      </c>
      <c r="AK973" s="5">
        <f t="shared" si="331"/>
        <v>79.110687022900777</v>
      </c>
      <c r="AL973" s="5">
        <f t="shared" si="332"/>
        <v>118.66603053435117</v>
      </c>
      <c r="AM973" s="5">
        <f t="shared" si="333"/>
        <v>0</v>
      </c>
      <c r="AN973" s="5">
        <f t="shared" si="334"/>
        <v>118.66603053435117</v>
      </c>
      <c r="AO973" s="1" t="s">
        <v>102</v>
      </c>
    </row>
    <row r="974" spans="1:41" x14ac:dyDescent="0.25">
      <c r="A974" s="1" t="s">
        <v>19</v>
      </c>
      <c r="B974" s="1" t="s">
        <v>46</v>
      </c>
      <c r="C974" s="1" t="s">
        <v>21</v>
      </c>
      <c r="D974" s="1" t="s">
        <v>47</v>
      </c>
      <c r="E974" s="1" t="s">
        <v>96</v>
      </c>
      <c r="F974" s="1" t="s">
        <v>103</v>
      </c>
      <c r="G974" s="1" t="s">
        <v>114</v>
      </c>
      <c r="H974" s="1" t="s">
        <v>257</v>
      </c>
      <c r="I974" s="1" t="s">
        <v>157</v>
      </c>
      <c r="J974" s="1" t="s">
        <v>101</v>
      </c>
      <c r="K974" s="1" t="s">
        <v>116</v>
      </c>
      <c r="L974" s="1">
        <v>2966823</v>
      </c>
      <c r="M974" s="1" t="s">
        <v>1128</v>
      </c>
      <c r="N974" s="8">
        <f t="shared" si="337"/>
        <v>44963</v>
      </c>
      <c r="O974" s="8">
        <f>DATE(2025,12,19)</f>
        <v>46010</v>
      </c>
      <c r="P974" s="1">
        <v>3196</v>
      </c>
      <c r="Q974" s="1">
        <v>1200</v>
      </c>
      <c r="R974" s="1">
        <f t="shared" si="317"/>
        <v>3200</v>
      </c>
      <c r="S974" s="1">
        <v>2.5</v>
      </c>
      <c r="U974" s="1">
        <f t="shared" si="318"/>
        <v>1048</v>
      </c>
      <c r="V974" s="7">
        <f t="shared" si="319"/>
        <v>3.0496183206106871</v>
      </c>
      <c r="W974" s="7">
        <f t="shared" si="320"/>
        <v>1113.1106870229007</v>
      </c>
      <c r="X974" s="7">
        <f t="shared" si="321"/>
        <v>1.391388358778626</v>
      </c>
      <c r="AA974" s="8">
        <f t="shared" si="322"/>
        <v>44927</v>
      </c>
      <c r="AB974" s="8">
        <f t="shared" si="323"/>
        <v>45291</v>
      </c>
      <c r="AC974" s="1">
        <v>67</v>
      </c>
      <c r="AD974" s="1">
        <f t="shared" si="324"/>
        <v>0</v>
      </c>
      <c r="AE974" s="1">
        <f t="shared" si="325"/>
        <v>329</v>
      </c>
      <c r="AF974" s="1">
        <f t="shared" si="326"/>
        <v>0</v>
      </c>
      <c r="AG974" s="1">
        <f t="shared" si="327"/>
        <v>0</v>
      </c>
      <c r="AH974" s="1">
        <f t="shared" si="328"/>
        <v>0</v>
      </c>
      <c r="AI974" s="5">
        <f t="shared" si="329"/>
        <v>0.90136986301369859</v>
      </c>
      <c r="AJ974" s="5">
        <f t="shared" si="330"/>
        <v>1.254155534351145</v>
      </c>
      <c r="AK974" s="5">
        <f t="shared" si="331"/>
        <v>84.028420801526721</v>
      </c>
      <c r="AL974" s="5">
        <f t="shared" si="332"/>
        <v>210.07105200381682</v>
      </c>
      <c r="AM974" s="5">
        <f t="shared" si="333"/>
        <v>0</v>
      </c>
      <c r="AN974" s="5">
        <f t="shared" si="334"/>
        <v>210.07105200381682</v>
      </c>
      <c r="AO974" s="1" t="s">
        <v>102</v>
      </c>
    </row>
    <row r="975" spans="1:41" x14ac:dyDescent="0.25">
      <c r="A975" s="1" t="s">
        <v>19</v>
      </c>
      <c r="B975" s="1" t="s">
        <v>46</v>
      </c>
      <c r="C975" s="1" t="s">
        <v>21</v>
      </c>
      <c r="D975" s="1" t="s">
        <v>47</v>
      </c>
      <c r="E975" s="1" t="s">
        <v>96</v>
      </c>
      <c r="F975" s="1" t="s">
        <v>103</v>
      </c>
      <c r="G975" s="1" t="s">
        <v>114</v>
      </c>
      <c r="H975" s="1" t="s">
        <v>115</v>
      </c>
      <c r="I975" s="1" t="s">
        <v>100</v>
      </c>
      <c r="J975" s="1" t="s">
        <v>101</v>
      </c>
      <c r="K975" s="1" t="s">
        <v>116</v>
      </c>
      <c r="L975" s="1">
        <v>2966832</v>
      </c>
      <c r="M975" s="1" t="s">
        <v>1129</v>
      </c>
      <c r="N975" s="8">
        <f t="shared" si="337"/>
        <v>44963</v>
      </c>
      <c r="O975" s="8">
        <f>DATE(2025,12,19)</f>
        <v>46010</v>
      </c>
      <c r="P975" s="1">
        <v>3264</v>
      </c>
      <c r="Q975" s="1">
        <v>800</v>
      </c>
      <c r="R975" s="1">
        <f t="shared" si="317"/>
        <v>3000</v>
      </c>
      <c r="S975" s="1">
        <v>1.5</v>
      </c>
      <c r="U975" s="1">
        <f t="shared" si="318"/>
        <v>1048</v>
      </c>
      <c r="V975" s="7">
        <f t="shared" si="319"/>
        <v>2.8625954198473282</v>
      </c>
      <c r="W975" s="7">
        <f t="shared" si="320"/>
        <v>1044.8473282442749</v>
      </c>
      <c r="X975" s="7">
        <f t="shared" si="321"/>
        <v>1.3060591603053435</v>
      </c>
      <c r="AA975" s="8">
        <f t="shared" si="322"/>
        <v>44927</v>
      </c>
      <c r="AB975" s="8">
        <f t="shared" si="323"/>
        <v>45291</v>
      </c>
      <c r="AC975" s="1">
        <v>65</v>
      </c>
      <c r="AD975" s="1">
        <f t="shared" si="324"/>
        <v>0</v>
      </c>
      <c r="AE975" s="1">
        <f t="shared" si="325"/>
        <v>329</v>
      </c>
      <c r="AF975" s="1">
        <f t="shared" si="326"/>
        <v>0</v>
      </c>
      <c r="AG975" s="1">
        <f t="shared" si="327"/>
        <v>0</v>
      </c>
      <c r="AH975" s="1">
        <f t="shared" si="328"/>
        <v>0</v>
      </c>
      <c r="AI975" s="5">
        <f t="shared" si="329"/>
        <v>0.90136986301369859</v>
      </c>
      <c r="AJ975" s="5">
        <f t="shared" si="330"/>
        <v>1.1772423664122138</v>
      </c>
      <c r="AK975" s="5">
        <f t="shared" si="331"/>
        <v>76.520753816793899</v>
      </c>
      <c r="AL975" s="5">
        <f t="shared" si="332"/>
        <v>114.78113072519085</v>
      </c>
      <c r="AM975" s="5">
        <f t="shared" si="333"/>
        <v>0</v>
      </c>
      <c r="AN975" s="5">
        <f t="shared" si="334"/>
        <v>114.78113072519085</v>
      </c>
      <c r="AO975" s="1" t="s">
        <v>102</v>
      </c>
    </row>
    <row r="976" spans="1:41" x14ac:dyDescent="0.25">
      <c r="A976" s="1" t="s">
        <v>19</v>
      </c>
      <c r="B976" s="1" t="s">
        <v>46</v>
      </c>
      <c r="C976" s="1" t="s">
        <v>21</v>
      </c>
      <c r="D976" s="1" t="s">
        <v>47</v>
      </c>
      <c r="E976" s="1" t="s">
        <v>96</v>
      </c>
      <c r="F976" s="1" t="s">
        <v>103</v>
      </c>
      <c r="G976" s="1" t="s">
        <v>98</v>
      </c>
      <c r="H976" s="1" t="s">
        <v>1123</v>
      </c>
      <c r="I976" s="1" t="s">
        <v>162</v>
      </c>
      <c r="J976" s="1" t="s">
        <v>101</v>
      </c>
      <c r="L976" s="1">
        <v>2971264</v>
      </c>
      <c r="M976" s="1" t="s">
        <v>1130</v>
      </c>
      <c r="N976" s="8">
        <f t="shared" si="337"/>
        <v>44963</v>
      </c>
      <c r="O976" s="8">
        <f>DATE(2026,12,31)</f>
        <v>46387</v>
      </c>
      <c r="P976" s="1">
        <v>3000</v>
      </c>
      <c r="Q976" s="1">
        <v>3000</v>
      </c>
      <c r="R976" s="1">
        <f t="shared" si="317"/>
        <v>3000</v>
      </c>
      <c r="S976" s="1">
        <v>1.5</v>
      </c>
      <c r="U976" s="1">
        <f t="shared" si="318"/>
        <v>1425</v>
      </c>
      <c r="V976" s="7">
        <f t="shared" si="319"/>
        <v>2.1052631578947367</v>
      </c>
      <c r="W976" s="7">
        <f t="shared" si="320"/>
        <v>768.42105263157896</v>
      </c>
      <c r="X976" s="7">
        <f t="shared" si="321"/>
        <v>0.96052631578947367</v>
      </c>
      <c r="AA976" s="8">
        <f t="shared" si="322"/>
        <v>44927</v>
      </c>
      <c r="AB976" s="8">
        <f t="shared" si="323"/>
        <v>45291</v>
      </c>
      <c r="AC976" s="1">
        <v>31</v>
      </c>
      <c r="AD976" s="1">
        <f t="shared" si="324"/>
        <v>0</v>
      </c>
      <c r="AE976" s="1">
        <f t="shared" si="325"/>
        <v>329</v>
      </c>
      <c r="AF976" s="1">
        <f t="shared" si="326"/>
        <v>0</v>
      </c>
      <c r="AG976" s="1">
        <f t="shared" si="327"/>
        <v>0</v>
      </c>
      <c r="AH976" s="1">
        <f t="shared" si="328"/>
        <v>0</v>
      </c>
      <c r="AI976" s="5">
        <f t="shared" si="329"/>
        <v>0.90136986301369859</v>
      </c>
      <c r="AJ976" s="5">
        <f t="shared" si="330"/>
        <v>0.86578947368421044</v>
      </c>
      <c r="AK976" s="5">
        <f t="shared" si="331"/>
        <v>26.839473684210525</v>
      </c>
      <c r="AL976" s="5">
        <f t="shared" si="332"/>
        <v>40.259210526315783</v>
      </c>
      <c r="AM976" s="5">
        <f t="shared" si="333"/>
        <v>0</v>
      </c>
      <c r="AN976" s="5">
        <f t="shared" si="334"/>
        <v>40.259210526315783</v>
      </c>
      <c r="AO976" s="1" t="s">
        <v>102</v>
      </c>
    </row>
    <row r="977" spans="1:41" x14ac:dyDescent="0.25">
      <c r="A977" s="1" t="s">
        <v>19</v>
      </c>
      <c r="B977" s="1" t="s">
        <v>46</v>
      </c>
      <c r="C977" s="1" t="s">
        <v>21</v>
      </c>
      <c r="D977" s="1" t="s">
        <v>47</v>
      </c>
      <c r="E977" s="1" t="s">
        <v>96</v>
      </c>
      <c r="F977" s="1" t="s">
        <v>103</v>
      </c>
      <c r="G977" s="1" t="s">
        <v>98</v>
      </c>
      <c r="H977" s="1" t="s">
        <v>99</v>
      </c>
      <c r="I977" s="1" t="s">
        <v>100</v>
      </c>
      <c r="J977" s="1" t="s">
        <v>101</v>
      </c>
      <c r="L977" s="1">
        <v>2971265</v>
      </c>
      <c r="M977" s="1" t="s">
        <v>1131</v>
      </c>
      <c r="N977" s="8">
        <f t="shared" si="337"/>
        <v>44963</v>
      </c>
      <c r="O977" s="8">
        <f>DATE(2026,12,31)</f>
        <v>46387</v>
      </c>
      <c r="P977" s="1">
        <v>3000</v>
      </c>
      <c r="Q977" s="1">
        <v>3000</v>
      </c>
      <c r="R977" s="1">
        <f t="shared" si="317"/>
        <v>3000</v>
      </c>
      <c r="S977" s="1">
        <v>1</v>
      </c>
      <c r="U977" s="1">
        <f t="shared" si="318"/>
        <v>1425</v>
      </c>
      <c r="V977" s="7">
        <f t="shared" si="319"/>
        <v>2.1052631578947367</v>
      </c>
      <c r="W977" s="7">
        <f t="shared" si="320"/>
        <v>768.42105263157896</v>
      </c>
      <c r="X977" s="7">
        <f t="shared" si="321"/>
        <v>0.96052631578947367</v>
      </c>
      <c r="AA977" s="8">
        <f t="shared" si="322"/>
        <v>44927</v>
      </c>
      <c r="AB977" s="8">
        <f t="shared" si="323"/>
        <v>45291</v>
      </c>
      <c r="AC977" s="1">
        <v>40</v>
      </c>
      <c r="AD977" s="1">
        <f t="shared" si="324"/>
        <v>0</v>
      </c>
      <c r="AE977" s="1">
        <f t="shared" si="325"/>
        <v>329</v>
      </c>
      <c r="AF977" s="1">
        <f t="shared" si="326"/>
        <v>0</v>
      </c>
      <c r="AG977" s="1">
        <f t="shared" si="327"/>
        <v>0</v>
      </c>
      <c r="AH977" s="1">
        <f t="shared" si="328"/>
        <v>0</v>
      </c>
      <c r="AI977" s="5">
        <f t="shared" si="329"/>
        <v>0.90136986301369859</v>
      </c>
      <c r="AJ977" s="5">
        <f t="shared" si="330"/>
        <v>0.86578947368421044</v>
      </c>
      <c r="AK977" s="5">
        <f t="shared" si="331"/>
        <v>34.631578947368418</v>
      </c>
      <c r="AL977" s="5">
        <f t="shared" si="332"/>
        <v>34.631578947368418</v>
      </c>
      <c r="AM977" s="5">
        <f t="shared" si="333"/>
        <v>0</v>
      </c>
      <c r="AN977" s="5">
        <f t="shared" si="334"/>
        <v>34.631578947368418</v>
      </c>
      <c r="AO977" s="1" t="s">
        <v>102</v>
      </c>
    </row>
    <row r="978" spans="1:41" x14ac:dyDescent="0.25">
      <c r="A978" s="1" t="s">
        <v>19</v>
      </c>
      <c r="B978" s="1" t="s">
        <v>46</v>
      </c>
      <c r="C978" s="1" t="s">
        <v>21</v>
      </c>
      <c r="D978" s="1" t="s">
        <v>47</v>
      </c>
      <c r="E978" s="1" t="s">
        <v>96</v>
      </c>
      <c r="F978" s="1" t="s">
        <v>103</v>
      </c>
      <c r="G978" s="1" t="s">
        <v>98</v>
      </c>
      <c r="H978" s="1" t="s">
        <v>725</v>
      </c>
      <c r="I978" s="1" t="s">
        <v>210</v>
      </c>
      <c r="J978" s="1" t="s">
        <v>101</v>
      </c>
      <c r="L978" s="1">
        <v>2971268</v>
      </c>
      <c r="M978" s="1" t="s">
        <v>1132</v>
      </c>
      <c r="N978" s="8">
        <f t="shared" si="337"/>
        <v>44963</v>
      </c>
      <c r="O978" s="8">
        <f>DATE(2027,12,31)</f>
        <v>46752</v>
      </c>
      <c r="P978" s="1">
        <v>3666</v>
      </c>
      <c r="Q978" s="1">
        <v>3600</v>
      </c>
      <c r="R978" s="1">
        <f t="shared" si="317"/>
        <v>3600</v>
      </c>
      <c r="S978" s="1">
        <v>2.5</v>
      </c>
      <c r="U978" s="1">
        <f t="shared" si="318"/>
        <v>1790</v>
      </c>
      <c r="V978" s="7">
        <f t="shared" si="319"/>
        <v>2.011173184357542</v>
      </c>
      <c r="W978" s="7">
        <f t="shared" si="320"/>
        <v>734.07821229050285</v>
      </c>
      <c r="X978" s="7">
        <f t="shared" si="321"/>
        <v>0.91759776536312854</v>
      </c>
      <c r="AA978" s="8">
        <f t="shared" si="322"/>
        <v>44927</v>
      </c>
      <c r="AB978" s="8">
        <f t="shared" si="323"/>
        <v>45291</v>
      </c>
      <c r="AC978" s="1">
        <v>34</v>
      </c>
      <c r="AD978" s="1">
        <f t="shared" si="324"/>
        <v>0</v>
      </c>
      <c r="AE978" s="1">
        <f t="shared" si="325"/>
        <v>329</v>
      </c>
      <c r="AF978" s="1">
        <f t="shared" si="326"/>
        <v>0</v>
      </c>
      <c r="AG978" s="1">
        <f t="shared" si="327"/>
        <v>0</v>
      </c>
      <c r="AH978" s="1">
        <f t="shared" si="328"/>
        <v>0</v>
      </c>
      <c r="AI978" s="5">
        <f t="shared" si="329"/>
        <v>0.90136986301369859</v>
      </c>
      <c r="AJ978" s="5">
        <f t="shared" si="330"/>
        <v>0.82709497206703908</v>
      </c>
      <c r="AK978" s="5">
        <f t="shared" si="331"/>
        <v>28.121229050279329</v>
      </c>
      <c r="AL978" s="5">
        <f t="shared" si="332"/>
        <v>70.30307262569832</v>
      </c>
      <c r="AM978" s="5">
        <f t="shared" si="333"/>
        <v>0</v>
      </c>
      <c r="AN978" s="5">
        <f t="shared" si="334"/>
        <v>70.30307262569832</v>
      </c>
      <c r="AO978" s="1" t="s">
        <v>102</v>
      </c>
    </row>
    <row r="979" spans="1:41" x14ac:dyDescent="0.25">
      <c r="A979" s="1" t="s">
        <v>19</v>
      </c>
      <c r="B979" s="1" t="s">
        <v>46</v>
      </c>
      <c r="C979" s="1" t="s">
        <v>21</v>
      </c>
      <c r="D979" s="1" t="s">
        <v>47</v>
      </c>
      <c r="E979" s="1" t="s">
        <v>96</v>
      </c>
      <c r="F979" s="1" t="s">
        <v>181</v>
      </c>
      <c r="G979" s="1" t="s">
        <v>155</v>
      </c>
      <c r="H979" s="1" t="s">
        <v>1133</v>
      </c>
      <c r="I979" s="1" t="s">
        <v>174</v>
      </c>
      <c r="J979" s="1" t="s">
        <v>101</v>
      </c>
      <c r="K979" s="1" t="s">
        <v>183</v>
      </c>
      <c r="L979" s="1">
        <v>2960585</v>
      </c>
      <c r="M979" s="1" t="s">
        <v>1134</v>
      </c>
      <c r="N979" s="8">
        <f>DATE(2023,3,11)</f>
        <v>44996</v>
      </c>
      <c r="O979" s="8">
        <f>DATE(2023,7,1)</f>
        <v>45108</v>
      </c>
      <c r="P979" s="1">
        <v>200</v>
      </c>
      <c r="Q979" s="1">
        <v>160</v>
      </c>
      <c r="R979" s="1">
        <f t="shared" si="317"/>
        <v>200</v>
      </c>
      <c r="S979" s="1">
        <v>2.5</v>
      </c>
      <c r="U979" s="1">
        <f t="shared" si="318"/>
        <v>113</v>
      </c>
      <c r="V979" s="7">
        <f t="shared" si="319"/>
        <v>1.7699115044247788</v>
      </c>
      <c r="W979" s="7">
        <f t="shared" si="320"/>
        <v>200</v>
      </c>
      <c r="X979" s="7">
        <f t="shared" si="321"/>
        <v>0.25</v>
      </c>
      <c r="AA979" s="8">
        <f t="shared" si="322"/>
        <v>44927</v>
      </c>
      <c r="AB979" s="8">
        <f t="shared" si="323"/>
        <v>45291</v>
      </c>
      <c r="AC979" s="1">
        <v>30</v>
      </c>
      <c r="AD979" s="1">
        <f t="shared" si="324"/>
        <v>0</v>
      </c>
      <c r="AE979" s="1">
        <f t="shared" si="325"/>
        <v>0</v>
      </c>
      <c r="AF979" s="1">
        <f t="shared" si="326"/>
        <v>0</v>
      </c>
      <c r="AG979" s="1">
        <f t="shared" si="327"/>
        <v>113</v>
      </c>
      <c r="AH979" s="1">
        <f t="shared" si="328"/>
        <v>0</v>
      </c>
      <c r="AI979" s="5">
        <f t="shared" si="329"/>
        <v>1</v>
      </c>
      <c r="AJ979" s="5">
        <f t="shared" si="330"/>
        <v>0.25</v>
      </c>
      <c r="AK979" s="5">
        <f t="shared" si="331"/>
        <v>7.5</v>
      </c>
      <c r="AL979" s="5">
        <f t="shared" si="332"/>
        <v>18.75</v>
      </c>
      <c r="AM979" s="5">
        <f t="shared" si="333"/>
        <v>0</v>
      </c>
      <c r="AN979" s="5">
        <f t="shared" si="334"/>
        <v>18.75</v>
      </c>
      <c r="AO979" s="1" t="s">
        <v>102</v>
      </c>
    </row>
    <row r="980" spans="1:41" x14ac:dyDescent="0.25">
      <c r="A980" s="1" t="s">
        <v>19</v>
      </c>
      <c r="B980" s="1" t="s">
        <v>46</v>
      </c>
      <c r="C980" s="1" t="s">
        <v>21</v>
      </c>
      <c r="D980" s="1" t="s">
        <v>47</v>
      </c>
      <c r="E980" s="1" t="s">
        <v>96</v>
      </c>
      <c r="F980" s="1" t="s">
        <v>181</v>
      </c>
      <c r="G980" s="1" t="s">
        <v>155</v>
      </c>
      <c r="H980" s="1" t="s">
        <v>1135</v>
      </c>
      <c r="I980" s="1" t="s">
        <v>210</v>
      </c>
      <c r="J980" s="1" t="s">
        <v>101</v>
      </c>
      <c r="K980" s="1" t="s">
        <v>183</v>
      </c>
      <c r="L980" s="1">
        <v>2960612</v>
      </c>
      <c r="M980" s="1" t="s">
        <v>1136</v>
      </c>
      <c r="N980" s="8">
        <f>DATE(2023,3,11)</f>
        <v>44996</v>
      </c>
      <c r="O980" s="8">
        <f>DATE(2023,7,1)</f>
        <v>45108</v>
      </c>
      <c r="P980" s="1">
        <v>200</v>
      </c>
      <c r="Q980" s="1">
        <v>160</v>
      </c>
      <c r="R980" s="1">
        <f t="shared" si="317"/>
        <v>200</v>
      </c>
      <c r="S980" s="1">
        <v>2.5</v>
      </c>
      <c r="U980" s="1">
        <f t="shared" si="318"/>
        <v>113</v>
      </c>
      <c r="V980" s="7">
        <f t="shared" si="319"/>
        <v>1.7699115044247788</v>
      </c>
      <c r="W980" s="7">
        <f t="shared" si="320"/>
        <v>200</v>
      </c>
      <c r="X980" s="7">
        <f t="shared" si="321"/>
        <v>0.25</v>
      </c>
      <c r="AA980" s="8">
        <f t="shared" si="322"/>
        <v>44927</v>
      </c>
      <c r="AB980" s="8">
        <f t="shared" si="323"/>
        <v>45291</v>
      </c>
      <c r="AC980" s="1">
        <v>31</v>
      </c>
      <c r="AD980" s="1">
        <f t="shared" si="324"/>
        <v>0</v>
      </c>
      <c r="AE980" s="1">
        <f t="shared" si="325"/>
        <v>0</v>
      </c>
      <c r="AF980" s="1">
        <f t="shared" si="326"/>
        <v>0</v>
      </c>
      <c r="AG980" s="1">
        <f t="shared" si="327"/>
        <v>113</v>
      </c>
      <c r="AH980" s="1">
        <f t="shared" si="328"/>
        <v>0</v>
      </c>
      <c r="AI980" s="5">
        <f t="shared" si="329"/>
        <v>1</v>
      </c>
      <c r="AJ980" s="5">
        <f t="shared" si="330"/>
        <v>0.25</v>
      </c>
      <c r="AK980" s="5">
        <f t="shared" si="331"/>
        <v>7.75</v>
      </c>
      <c r="AL980" s="5">
        <f t="shared" si="332"/>
        <v>19.375</v>
      </c>
      <c r="AM980" s="5">
        <f t="shared" si="333"/>
        <v>0</v>
      </c>
      <c r="AN980" s="5">
        <f t="shared" si="334"/>
        <v>19.375</v>
      </c>
      <c r="AO980" s="1" t="s">
        <v>102</v>
      </c>
    </row>
    <row r="981" spans="1:41" x14ac:dyDescent="0.25">
      <c r="A981" s="1" t="s">
        <v>19</v>
      </c>
      <c r="B981" s="1" t="s">
        <v>46</v>
      </c>
      <c r="C981" s="1" t="s">
        <v>21</v>
      </c>
      <c r="D981" s="1" t="s">
        <v>47</v>
      </c>
      <c r="E981" s="1" t="s">
        <v>172</v>
      </c>
      <c r="F981" s="1" t="s">
        <v>103</v>
      </c>
      <c r="G981" s="1" t="s">
        <v>114</v>
      </c>
      <c r="H981" s="1" t="s">
        <v>177</v>
      </c>
      <c r="I981" s="1" t="s">
        <v>174</v>
      </c>
      <c r="J981" s="1" t="s">
        <v>101</v>
      </c>
      <c r="K981" s="1" t="s">
        <v>175</v>
      </c>
      <c r="L981" s="1">
        <v>2985807</v>
      </c>
      <c r="M981" s="1" t="s">
        <v>1137</v>
      </c>
      <c r="N981" s="8">
        <f>DATE(2023,4,1)</f>
        <v>45017</v>
      </c>
      <c r="O981" s="8">
        <f>DATE(2024,10,31)</f>
        <v>45596</v>
      </c>
      <c r="P981" s="1">
        <v>1200</v>
      </c>
      <c r="Q981" s="1">
        <v>1200</v>
      </c>
      <c r="R981" s="1">
        <f t="shared" si="317"/>
        <v>1200</v>
      </c>
      <c r="S981" s="1">
        <v>1</v>
      </c>
      <c r="U981" s="1">
        <f t="shared" si="318"/>
        <v>580</v>
      </c>
      <c r="V981" s="7">
        <f t="shared" si="319"/>
        <v>2.0689655172413794</v>
      </c>
      <c r="W981" s="7">
        <f t="shared" si="320"/>
        <v>755.17241379310349</v>
      </c>
      <c r="X981" s="7">
        <f t="shared" si="321"/>
        <v>0.94396551724137934</v>
      </c>
      <c r="AA981" s="8">
        <f t="shared" si="322"/>
        <v>44927</v>
      </c>
      <c r="AB981" s="8">
        <f t="shared" si="323"/>
        <v>45291</v>
      </c>
      <c r="AC981" s="1">
        <v>51</v>
      </c>
      <c r="AD981" s="1">
        <f t="shared" si="324"/>
        <v>0</v>
      </c>
      <c r="AE981" s="1">
        <f t="shared" si="325"/>
        <v>275</v>
      </c>
      <c r="AF981" s="1">
        <f t="shared" si="326"/>
        <v>0</v>
      </c>
      <c r="AG981" s="1">
        <f t="shared" si="327"/>
        <v>0</v>
      </c>
      <c r="AH981" s="1">
        <f t="shared" si="328"/>
        <v>0</v>
      </c>
      <c r="AI981" s="5">
        <f t="shared" si="329"/>
        <v>0.75342465753424659</v>
      </c>
      <c r="AJ981" s="5">
        <f t="shared" si="330"/>
        <v>0.7112068965517242</v>
      </c>
      <c r="AK981" s="5">
        <f t="shared" si="331"/>
        <v>36.271551724137936</v>
      </c>
      <c r="AL981" s="5">
        <f t="shared" si="332"/>
        <v>36.271551724137936</v>
      </c>
      <c r="AM981" s="5">
        <f t="shared" si="333"/>
        <v>0</v>
      </c>
      <c r="AN981" s="5">
        <f t="shared" si="334"/>
        <v>36.271551724137936</v>
      </c>
      <c r="AO981" s="1" t="s">
        <v>122</v>
      </c>
    </row>
    <row r="982" spans="1:41" x14ac:dyDescent="0.25">
      <c r="A982" s="1" t="s">
        <v>19</v>
      </c>
      <c r="B982" s="1" t="s">
        <v>46</v>
      </c>
      <c r="C982" s="1" t="s">
        <v>21</v>
      </c>
      <c r="D982" s="1" t="s">
        <v>47</v>
      </c>
      <c r="E982" s="1" t="s">
        <v>172</v>
      </c>
      <c r="F982" s="1" t="s">
        <v>103</v>
      </c>
      <c r="G982" s="1" t="s">
        <v>114</v>
      </c>
      <c r="H982" s="1" t="s">
        <v>173</v>
      </c>
      <c r="I982" s="1" t="s">
        <v>174</v>
      </c>
      <c r="J982" s="1" t="s">
        <v>101</v>
      </c>
      <c r="K982" s="1" t="s">
        <v>175</v>
      </c>
      <c r="L982" s="1">
        <v>2985817</v>
      </c>
      <c r="M982" s="1" t="s">
        <v>1138</v>
      </c>
      <c r="N982" s="8">
        <f>DATE(2023,4,1)</f>
        <v>45017</v>
      </c>
      <c r="O982" s="8">
        <f>DATE(2024,10,31)</f>
        <v>45596</v>
      </c>
      <c r="P982" s="1">
        <v>1200</v>
      </c>
      <c r="Q982" s="1">
        <v>1200</v>
      </c>
      <c r="R982" s="1">
        <f t="shared" si="317"/>
        <v>1200</v>
      </c>
      <c r="S982" s="1">
        <v>2</v>
      </c>
      <c r="U982" s="1">
        <f t="shared" si="318"/>
        <v>580</v>
      </c>
      <c r="V982" s="7">
        <f t="shared" si="319"/>
        <v>2.0689655172413794</v>
      </c>
      <c r="W982" s="7">
        <f t="shared" si="320"/>
        <v>755.17241379310349</v>
      </c>
      <c r="X982" s="7">
        <f t="shared" si="321"/>
        <v>0.94396551724137934</v>
      </c>
      <c r="AA982" s="8">
        <f t="shared" si="322"/>
        <v>44927</v>
      </c>
      <c r="AB982" s="8">
        <f t="shared" si="323"/>
        <v>45291</v>
      </c>
      <c r="AC982" s="1">
        <v>24</v>
      </c>
      <c r="AD982" s="1">
        <f t="shared" si="324"/>
        <v>0</v>
      </c>
      <c r="AE982" s="1">
        <f t="shared" si="325"/>
        <v>275</v>
      </c>
      <c r="AF982" s="1">
        <f t="shared" si="326"/>
        <v>0</v>
      </c>
      <c r="AG982" s="1">
        <f t="shared" si="327"/>
        <v>0</v>
      </c>
      <c r="AH982" s="1">
        <f t="shared" si="328"/>
        <v>0</v>
      </c>
      <c r="AI982" s="5">
        <f t="shared" si="329"/>
        <v>0.75342465753424659</v>
      </c>
      <c r="AJ982" s="5">
        <f t="shared" si="330"/>
        <v>0.7112068965517242</v>
      </c>
      <c r="AK982" s="5">
        <f t="shared" si="331"/>
        <v>17.068965517241381</v>
      </c>
      <c r="AL982" s="5">
        <f t="shared" si="332"/>
        <v>34.137931034482762</v>
      </c>
      <c r="AM982" s="5">
        <f t="shared" si="333"/>
        <v>0</v>
      </c>
      <c r="AN982" s="5">
        <f t="shared" si="334"/>
        <v>34.137931034482762</v>
      </c>
      <c r="AO982" s="1" t="s">
        <v>122</v>
      </c>
    </row>
    <row r="983" spans="1:41" x14ac:dyDescent="0.25">
      <c r="A983" s="1" t="s">
        <v>19</v>
      </c>
      <c r="B983" s="1" t="s">
        <v>46</v>
      </c>
      <c r="C983" s="1" t="s">
        <v>21</v>
      </c>
      <c r="D983" s="1" t="s">
        <v>47</v>
      </c>
      <c r="E983" s="1" t="s">
        <v>172</v>
      </c>
      <c r="F983" s="1" t="s">
        <v>103</v>
      </c>
      <c r="G983" s="1" t="s">
        <v>114</v>
      </c>
      <c r="H983" s="1" t="s">
        <v>179</v>
      </c>
      <c r="I983" s="1" t="s">
        <v>174</v>
      </c>
      <c r="J983" s="1" t="s">
        <v>101</v>
      </c>
      <c r="K983" s="1" t="s">
        <v>175</v>
      </c>
      <c r="L983" s="1">
        <v>2985820</v>
      </c>
      <c r="M983" s="1" t="s">
        <v>1139</v>
      </c>
      <c r="N983" s="8">
        <f>DATE(2023,4,1)</f>
        <v>45017</v>
      </c>
      <c r="O983" s="8">
        <f>DATE(2024,10,31)</f>
        <v>45596</v>
      </c>
      <c r="P983" s="1">
        <v>1200</v>
      </c>
      <c r="Q983" s="1">
        <v>800</v>
      </c>
      <c r="R983" s="1">
        <f t="shared" si="317"/>
        <v>800</v>
      </c>
      <c r="S983" s="1">
        <v>1.5</v>
      </c>
      <c r="U983" s="1">
        <f t="shared" si="318"/>
        <v>580</v>
      </c>
      <c r="V983" s="7">
        <f t="shared" si="319"/>
        <v>1.3793103448275863</v>
      </c>
      <c r="W983" s="7">
        <f t="shared" si="320"/>
        <v>503.44827586206901</v>
      </c>
      <c r="X983" s="7">
        <f t="shared" si="321"/>
        <v>0.6293103448275863</v>
      </c>
      <c r="AA983" s="8">
        <f t="shared" si="322"/>
        <v>44927</v>
      </c>
      <c r="AB983" s="8">
        <f t="shared" si="323"/>
        <v>45291</v>
      </c>
      <c r="AC983" s="1">
        <v>17</v>
      </c>
      <c r="AD983" s="1">
        <f t="shared" si="324"/>
        <v>0</v>
      </c>
      <c r="AE983" s="1">
        <f t="shared" si="325"/>
        <v>275</v>
      </c>
      <c r="AF983" s="1">
        <f t="shared" si="326"/>
        <v>0</v>
      </c>
      <c r="AG983" s="1">
        <f t="shared" si="327"/>
        <v>0</v>
      </c>
      <c r="AH983" s="1">
        <f t="shared" si="328"/>
        <v>0</v>
      </c>
      <c r="AI983" s="5">
        <f t="shared" si="329"/>
        <v>0.75342465753424659</v>
      </c>
      <c r="AJ983" s="5">
        <f t="shared" si="330"/>
        <v>0.47413793103448282</v>
      </c>
      <c r="AK983" s="5">
        <f t="shared" si="331"/>
        <v>8.0603448275862082</v>
      </c>
      <c r="AL983" s="5">
        <f t="shared" si="332"/>
        <v>12.090517241379313</v>
      </c>
      <c r="AM983" s="5">
        <f t="shared" si="333"/>
        <v>0</v>
      </c>
      <c r="AN983" s="5">
        <f t="shared" si="334"/>
        <v>12.090517241379313</v>
      </c>
      <c r="AO983" s="1" t="s">
        <v>122</v>
      </c>
    </row>
    <row r="984" spans="1:41" x14ac:dyDescent="0.25">
      <c r="A984" s="1" t="s">
        <v>19</v>
      </c>
      <c r="B984" s="1" t="s">
        <v>48</v>
      </c>
      <c r="C984" s="1" t="s">
        <v>21</v>
      </c>
      <c r="D984" s="1" t="s">
        <v>49</v>
      </c>
      <c r="E984" s="1" t="s">
        <v>96</v>
      </c>
      <c r="F984" s="1" t="s">
        <v>103</v>
      </c>
      <c r="G984" s="1" t="s">
        <v>98</v>
      </c>
      <c r="H984" s="1" t="s">
        <v>542</v>
      </c>
      <c r="I984" s="1" t="s">
        <v>210</v>
      </c>
      <c r="J984" s="1" t="s">
        <v>101</v>
      </c>
      <c r="L984" s="1">
        <v>1980884</v>
      </c>
      <c r="M984" s="1" t="s">
        <v>1141</v>
      </c>
      <c r="N984" s="8">
        <f>DATE(2015,2,2)</f>
        <v>42037</v>
      </c>
      <c r="O984" s="8">
        <f>DATE(2019,12,20)</f>
        <v>43819</v>
      </c>
      <c r="P984" s="1">
        <v>4909</v>
      </c>
      <c r="Q984" s="1">
        <v>3600</v>
      </c>
      <c r="R984" s="1">
        <f t="shared" si="317"/>
        <v>3600</v>
      </c>
      <c r="S984" s="1">
        <v>2.5</v>
      </c>
      <c r="U984" s="1">
        <f t="shared" si="318"/>
        <v>1783</v>
      </c>
      <c r="V984" s="7">
        <f t="shared" si="319"/>
        <v>2.0190689848569825</v>
      </c>
      <c r="W984" s="7">
        <f t="shared" si="320"/>
        <v>736.96017947279859</v>
      </c>
      <c r="X984" s="7">
        <f t="shared" si="321"/>
        <v>0.92120022434099824</v>
      </c>
      <c r="AA984" s="8">
        <f t="shared" si="322"/>
        <v>44927</v>
      </c>
      <c r="AB984" s="8">
        <f t="shared" si="323"/>
        <v>45291</v>
      </c>
      <c r="AC984" s="1">
        <v>0</v>
      </c>
      <c r="AD984" s="1">
        <f t="shared" si="324"/>
        <v>0</v>
      </c>
      <c r="AE984" s="1">
        <f t="shared" si="325"/>
        <v>0</v>
      </c>
      <c r="AF984" s="1">
        <f t="shared" si="326"/>
        <v>0</v>
      </c>
      <c r="AG984" s="1">
        <f t="shared" si="327"/>
        <v>0</v>
      </c>
      <c r="AH984" s="1">
        <f t="shared" si="328"/>
        <v>182.5</v>
      </c>
      <c r="AI984" s="5">
        <f t="shared" si="329"/>
        <v>0.5</v>
      </c>
      <c r="AJ984" s="5">
        <f t="shared" si="330"/>
        <v>0.46060011217049912</v>
      </c>
      <c r="AK984" s="5">
        <f t="shared" si="331"/>
        <v>0</v>
      </c>
      <c r="AL984" s="5">
        <f t="shared" si="332"/>
        <v>0</v>
      </c>
      <c r="AM984" s="5">
        <f t="shared" si="333"/>
        <v>0</v>
      </c>
      <c r="AN984" s="5">
        <f t="shared" si="334"/>
        <v>0</v>
      </c>
      <c r="AO984" s="1" t="s">
        <v>102</v>
      </c>
    </row>
    <row r="985" spans="1:41" x14ac:dyDescent="0.25">
      <c r="A985" s="1" t="s">
        <v>19</v>
      </c>
      <c r="B985" s="1" t="s">
        <v>48</v>
      </c>
      <c r="C985" s="1" t="s">
        <v>21</v>
      </c>
      <c r="D985" s="1" t="s">
        <v>49</v>
      </c>
      <c r="E985" s="1" t="s">
        <v>96</v>
      </c>
      <c r="F985" s="1" t="s">
        <v>103</v>
      </c>
      <c r="G985" s="1" t="s">
        <v>98</v>
      </c>
      <c r="H985" s="1" t="s">
        <v>542</v>
      </c>
      <c r="I985" s="1" t="s">
        <v>210</v>
      </c>
      <c r="J985" s="1" t="s">
        <v>101</v>
      </c>
      <c r="L985" s="1">
        <v>2025916</v>
      </c>
      <c r="M985" s="1" t="s">
        <v>1142</v>
      </c>
      <c r="N985" s="8">
        <f>DATE(2016,3,21)</f>
        <v>42450</v>
      </c>
      <c r="O985" s="8">
        <f>DATE(2020,12,20)</f>
        <v>44185</v>
      </c>
      <c r="P985" s="1">
        <v>4909</v>
      </c>
      <c r="Q985" s="1">
        <v>3600</v>
      </c>
      <c r="R985" s="1">
        <f t="shared" si="317"/>
        <v>3600</v>
      </c>
      <c r="S985" s="1">
        <v>2.5</v>
      </c>
      <c r="U985" s="1">
        <f t="shared" si="318"/>
        <v>1736</v>
      </c>
      <c r="V985" s="7">
        <f t="shared" si="319"/>
        <v>2.0737327188940093</v>
      </c>
      <c r="W985" s="7">
        <f t="shared" si="320"/>
        <v>756.91244239631339</v>
      </c>
      <c r="X985" s="7">
        <f t="shared" si="321"/>
        <v>0.94614055299539179</v>
      </c>
      <c r="AA985" s="8">
        <f t="shared" si="322"/>
        <v>44927</v>
      </c>
      <c r="AB985" s="8">
        <f t="shared" si="323"/>
        <v>45291</v>
      </c>
      <c r="AC985" s="1">
        <v>1</v>
      </c>
      <c r="AD985" s="1">
        <f t="shared" si="324"/>
        <v>0</v>
      </c>
      <c r="AE985" s="1">
        <f t="shared" si="325"/>
        <v>0</v>
      </c>
      <c r="AF985" s="1">
        <f t="shared" si="326"/>
        <v>0</v>
      </c>
      <c r="AG985" s="1">
        <f t="shared" si="327"/>
        <v>0</v>
      </c>
      <c r="AH985" s="1">
        <f t="shared" si="328"/>
        <v>182.5</v>
      </c>
      <c r="AI985" s="5">
        <f t="shared" si="329"/>
        <v>0.5</v>
      </c>
      <c r="AJ985" s="5">
        <f t="shared" si="330"/>
        <v>0.4730702764976959</v>
      </c>
      <c r="AK985" s="5">
        <f t="shared" si="331"/>
        <v>0.23653513824884795</v>
      </c>
      <c r="AL985" s="5">
        <f t="shared" si="332"/>
        <v>0.59133784562211988</v>
      </c>
      <c r="AM985" s="5">
        <f t="shared" si="333"/>
        <v>0</v>
      </c>
      <c r="AN985" s="5">
        <f t="shared" si="334"/>
        <v>0.59133784562211988</v>
      </c>
      <c r="AO985" s="1" t="s">
        <v>102</v>
      </c>
    </row>
    <row r="986" spans="1:41" x14ac:dyDescent="0.25">
      <c r="A986" s="1" t="s">
        <v>19</v>
      </c>
      <c r="B986" s="1" t="s">
        <v>48</v>
      </c>
      <c r="C986" s="1" t="s">
        <v>21</v>
      </c>
      <c r="D986" s="1" t="s">
        <v>49</v>
      </c>
      <c r="E986" s="1" t="s">
        <v>96</v>
      </c>
      <c r="F986" s="1" t="s">
        <v>103</v>
      </c>
      <c r="G986" s="1" t="s">
        <v>127</v>
      </c>
      <c r="H986" s="1" t="s">
        <v>1143</v>
      </c>
      <c r="I986" s="1" t="s">
        <v>162</v>
      </c>
      <c r="J986" s="1" t="s">
        <v>101</v>
      </c>
      <c r="L986" s="1">
        <v>2025919</v>
      </c>
      <c r="M986" s="1" t="s">
        <v>1144</v>
      </c>
      <c r="N986" s="8">
        <f>DATE(2016,4,23)</f>
        <v>42483</v>
      </c>
      <c r="O986" s="8">
        <f>DATE(2018,12,21)</f>
        <v>43455</v>
      </c>
      <c r="P986" s="1">
        <v>2160</v>
      </c>
      <c r="Q986" s="1">
        <v>2000</v>
      </c>
      <c r="R986" s="1">
        <f t="shared" si="317"/>
        <v>2000</v>
      </c>
      <c r="S986" s="1">
        <v>1.5</v>
      </c>
      <c r="U986" s="1">
        <f t="shared" si="318"/>
        <v>973</v>
      </c>
      <c r="V986" s="7">
        <f t="shared" si="319"/>
        <v>2.0554984583761562</v>
      </c>
      <c r="W986" s="7">
        <f t="shared" si="320"/>
        <v>750.25693730729699</v>
      </c>
      <c r="X986" s="7">
        <f t="shared" si="321"/>
        <v>0.93782117163412126</v>
      </c>
      <c r="AA986" s="8">
        <f t="shared" si="322"/>
        <v>44927</v>
      </c>
      <c r="AB986" s="8">
        <f t="shared" si="323"/>
        <v>45291</v>
      </c>
      <c r="AC986" s="1">
        <v>1</v>
      </c>
      <c r="AD986" s="1">
        <f t="shared" si="324"/>
        <v>0</v>
      </c>
      <c r="AE986" s="1">
        <f t="shared" si="325"/>
        <v>0</v>
      </c>
      <c r="AF986" s="1">
        <f t="shared" si="326"/>
        <v>0</v>
      </c>
      <c r="AG986" s="1">
        <f t="shared" si="327"/>
        <v>0</v>
      </c>
      <c r="AH986" s="1">
        <f t="shared" si="328"/>
        <v>182.5</v>
      </c>
      <c r="AI986" s="5">
        <f t="shared" si="329"/>
        <v>0.5</v>
      </c>
      <c r="AJ986" s="5">
        <f t="shared" si="330"/>
        <v>0.46891058581706063</v>
      </c>
      <c r="AK986" s="5">
        <f t="shared" si="331"/>
        <v>0</v>
      </c>
      <c r="AL986" s="5">
        <f t="shared" si="332"/>
        <v>0</v>
      </c>
      <c r="AM986" s="5">
        <f t="shared" si="333"/>
        <v>0</v>
      </c>
      <c r="AN986" s="5">
        <f t="shared" si="334"/>
        <v>0</v>
      </c>
      <c r="AO986" s="1" t="s">
        <v>102</v>
      </c>
    </row>
    <row r="987" spans="1:41" x14ac:dyDescent="0.25">
      <c r="A987" s="1" t="s">
        <v>19</v>
      </c>
      <c r="B987" s="1" t="s">
        <v>48</v>
      </c>
      <c r="C987" s="1" t="s">
        <v>21</v>
      </c>
      <c r="D987" s="1" t="s">
        <v>49</v>
      </c>
      <c r="E987" s="1" t="s">
        <v>96</v>
      </c>
      <c r="F987" s="1" t="s">
        <v>103</v>
      </c>
      <c r="G987" s="1" t="s">
        <v>98</v>
      </c>
      <c r="H987" s="1" t="s">
        <v>542</v>
      </c>
      <c r="I987" s="1" t="s">
        <v>210</v>
      </c>
      <c r="J987" s="1" t="s">
        <v>101</v>
      </c>
      <c r="L987" s="1">
        <v>2159914</v>
      </c>
      <c r="M987" s="1" t="s">
        <v>1145</v>
      </c>
      <c r="N987" s="8">
        <f>DATE(2017,4,3)</f>
        <v>42828</v>
      </c>
      <c r="O987" s="8">
        <f>DATE(2021,12,22)</f>
        <v>44552</v>
      </c>
      <c r="P987" s="1">
        <v>4909</v>
      </c>
      <c r="Q987" s="1">
        <v>3600</v>
      </c>
      <c r="R987" s="1">
        <f t="shared" si="317"/>
        <v>3600</v>
      </c>
      <c r="S987" s="1">
        <v>2.5</v>
      </c>
      <c r="U987" s="1">
        <f t="shared" si="318"/>
        <v>1725</v>
      </c>
      <c r="V987" s="7">
        <f t="shared" si="319"/>
        <v>2.0869565217391304</v>
      </c>
      <c r="W987" s="7">
        <f t="shared" si="320"/>
        <v>761.73913043478262</v>
      </c>
      <c r="X987" s="7">
        <f t="shared" si="321"/>
        <v>0.95217391304347831</v>
      </c>
      <c r="AA987" s="8">
        <f t="shared" si="322"/>
        <v>44927</v>
      </c>
      <c r="AB987" s="8">
        <f t="shared" si="323"/>
        <v>45291</v>
      </c>
      <c r="AC987" s="1">
        <v>4</v>
      </c>
      <c r="AD987" s="1">
        <f t="shared" si="324"/>
        <v>0</v>
      </c>
      <c r="AE987" s="1">
        <f t="shared" si="325"/>
        <v>0</v>
      </c>
      <c r="AF987" s="1">
        <f t="shared" si="326"/>
        <v>0</v>
      </c>
      <c r="AG987" s="1">
        <f t="shared" si="327"/>
        <v>0</v>
      </c>
      <c r="AH987" s="1">
        <f t="shared" si="328"/>
        <v>182.5</v>
      </c>
      <c r="AI987" s="5">
        <f t="shared" si="329"/>
        <v>0.5</v>
      </c>
      <c r="AJ987" s="5">
        <f t="shared" si="330"/>
        <v>0.47608695652173916</v>
      </c>
      <c r="AK987" s="5">
        <f t="shared" si="331"/>
        <v>0.95217391304347831</v>
      </c>
      <c r="AL987" s="5">
        <f t="shared" si="332"/>
        <v>2.3804347826086958</v>
      </c>
      <c r="AM987" s="5">
        <f t="shared" si="333"/>
        <v>0</v>
      </c>
      <c r="AN987" s="5">
        <f t="shared" si="334"/>
        <v>2.3804347826086958</v>
      </c>
      <c r="AO987" s="1" t="s">
        <v>102</v>
      </c>
    </row>
    <row r="988" spans="1:41" x14ac:dyDescent="0.25">
      <c r="A988" s="1" t="s">
        <v>19</v>
      </c>
      <c r="B988" s="1" t="s">
        <v>48</v>
      </c>
      <c r="C988" s="1" t="s">
        <v>21</v>
      </c>
      <c r="D988" s="1" t="s">
        <v>49</v>
      </c>
      <c r="E988" s="1" t="s">
        <v>96</v>
      </c>
      <c r="F988" s="1" t="s">
        <v>103</v>
      </c>
      <c r="G988" s="1" t="s">
        <v>127</v>
      </c>
      <c r="H988" s="1" t="s">
        <v>1143</v>
      </c>
      <c r="I988" s="1" t="s">
        <v>162</v>
      </c>
      <c r="J988" s="1" t="s">
        <v>101</v>
      </c>
      <c r="L988" s="1">
        <v>2159915</v>
      </c>
      <c r="M988" s="1" t="s">
        <v>1146</v>
      </c>
      <c r="N988" s="8">
        <f>DATE(2017,4,3)</f>
        <v>42828</v>
      </c>
      <c r="O988" s="8">
        <f>DATE(2019,12,22)</f>
        <v>43821</v>
      </c>
      <c r="P988" s="1">
        <v>2160</v>
      </c>
      <c r="Q988" s="1">
        <v>2000</v>
      </c>
      <c r="R988" s="1">
        <f t="shared" si="317"/>
        <v>2000</v>
      </c>
      <c r="S988" s="1">
        <v>1.5</v>
      </c>
      <c r="U988" s="1">
        <f t="shared" si="318"/>
        <v>994</v>
      </c>
      <c r="V988" s="7">
        <f t="shared" si="319"/>
        <v>2.0120724346076457</v>
      </c>
      <c r="W988" s="7">
        <f t="shared" si="320"/>
        <v>734.40643863179071</v>
      </c>
      <c r="X988" s="7">
        <f t="shared" si="321"/>
        <v>0.91800804828973837</v>
      </c>
      <c r="AA988" s="8">
        <f t="shared" si="322"/>
        <v>44927</v>
      </c>
      <c r="AB988" s="8">
        <f t="shared" si="323"/>
        <v>45291</v>
      </c>
      <c r="AC988" s="1">
        <v>0</v>
      </c>
      <c r="AD988" s="1">
        <f t="shared" si="324"/>
        <v>0</v>
      </c>
      <c r="AE988" s="1">
        <f t="shared" si="325"/>
        <v>0</v>
      </c>
      <c r="AF988" s="1">
        <f t="shared" si="326"/>
        <v>0</v>
      </c>
      <c r="AG988" s="1">
        <f t="shared" si="327"/>
        <v>0</v>
      </c>
      <c r="AH988" s="1">
        <f t="shared" si="328"/>
        <v>182.5</v>
      </c>
      <c r="AI988" s="5">
        <f t="shared" si="329"/>
        <v>0.5</v>
      </c>
      <c r="AJ988" s="5">
        <f t="shared" si="330"/>
        <v>0.45900402414486918</v>
      </c>
      <c r="AK988" s="5">
        <f t="shared" si="331"/>
        <v>0</v>
      </c>
      <c r="AL988" s="5">
        <f t="shared" si="332"/>
        <v>0</v>
      </c>
      <c r="AM988" s="5">
        <f t="shared" si="333"/>
        <v>0</v>
      </c>
      <c r="AN988" s="5">
        <f t="shared" si="334"/>
        <v>0</v>
      </c>
      <c r="AO988" s="1" t="s">
        <v>102</v>
      </c>
    </row>
    <row r="989" spans="1:41" x14ac:dyDescent="0.25">
      <c r="A989" s="1" t="s">
        <v>19</v>
      </c>
      <c r="B989" s="1" t="s">
        <v>48</v>
      </c>
      <c r="C989" s="1" t="s">
        <v>21</v>
      </c>
      <c r="D989" s="1" t="s">
        <v>49</v>
      </c>
      <c r="E989" s="1" t="s">
        <v>96</v>
      </c>
      <c r="F989" s="1" t="s">
        <v>103</v>
      </c>
      <c r="G989" s="1" t="s">
        <v>320</v>
      </c>
      <c r="H989" s="1" t="s">
        <v>321</v>
      </c>
      <c r="I989" s="1" t="s">
        <v>174</v>
      </c>
      <c r="J989" s="1" t="s">
        <v>101</v>
      </c>
      <c r="L989" s="1">
        <v>2160238</v>
      </c>
      <c r="M989" s="1" t="s">
        <v>1147</v>
      </c>
      <c r="N989" s="8">
        <f>DATE(2017,4,3)</f>
        <v>42828</v>
      </c>
      <c r="O989" s="8">
        <f>DATE(2020,12,22)</f>
        <v>44187</v>
      </c>
      <c r="P989" s="1">
        <v>3260</v>
      </c>
      <c r="Q989" s="1">
        <v>3200</v>
      </c>
      <c r="R989" s="1">
        <f t="shared" si="317"/>
        <v>3200</v>
      </c>
      <c r="S989" s="1">
        <v>2.5</v>
      </c>
      <c r="U989" s="1">
        <f t="shared" si="318"/>
        <v>1360</v>
      </c>
      <c r="V989" s="7">
        <f t="shared" si="319"/>
        <v>2.3529411764705883</v>
      </c>
      <c r="W989" s="7">
        <f t="shared" si="320"/>
        <v>858.82352941176475</v>
      </c>
      <c r="X989" s="7">
        <f t="shared" si="321"/>
        <v>1.0735294117647058</v>
      </c>
      <c r="AA989" s="8">
        <f t="shared" si="322"/>
        <v>44927</v>
      </c>
      <c r="AB989" s="8">
        <f t="shared" si="323"/>
        <v>45291</v>
      </c>
      <c r="AC989" s="1">
        <v>5</v>
      </c>
      <c r="AD989" s="1">
        <f t="shared" si="324"/>
        <v>0</v>
      </c>
      <c r="AE989" s="1">
        <f t="shared" si="325"/>
        <v>0</v>
      </c>
      <c r="AF989" s="1">
        <f t="shared" si="326"/>
        <v>0</v>
      </c>
      <c r="AG989" s="1">
        <f t="shared" si="327"/>
        <v>0</v>
      </c>
      <c r="AH989" s="1">
        <f t="shared" si="328"/>
        <v>182.5</v>
      </c>
      <c r="AI989" s="5">
        <f t="shared" si="329"/>
        <v>0.5</v>
      </c>
      <c r="AJ989" s="5">
        <f t="shared" si="330"/>
        <v>0.53676470588235292</v>
      </c>
      <c r="AK989" s="5">
        <f t="shared" si="331"/>
        <v>1.3419117647058822</v>
      </c>
      <c r="AL989" s="5">
        <f t="shared" si="332"/>
        <v>3.3547794117647056</v>
      </c>
      <c r="AM989" s="5">
        <f t="shared" si="333"/>
        <v>0</v>
      </c>
      <c r="AN989" s="5">
        <f t="shared" si="334"/>
        <v>3.3547794117647056</v>
      </c>
      <c r="AO989" s="1" t="s">
        <v>102</v>
      </c>
    </row>
    <row r="990" spans="1:41" x14ac:dyDescent="0.25">
      <c r="A990" s="1" t="s">
        <v>19</v>
      </c>
      <c r="B990" s="1" t="s">
        <v>48</v>
      </c>
      <c r="C990" s="1" t="s">
        <v>21</v>
      </c>
      <c r="D990" s="1" t="s">
        <v>49</v>
      </c>
      <c r="E990" s="1" t="s">
        <v>96</v>
      </c>
      <c r="F990" s="1" t="s">
        <v>103</v>
      </c>
      <c r="G990" s="1" t="s">
        <v>114</v>
      </c>
      <c r="H990" s="1" t="s">
        <v>247</v>
      </c>
      <c r="I990" s="1" t="s">
        <v>162</v>
      </c>
      <c r="J990" s="1" t="s">
        <v>101</v>
      </c>
      <c r="K990" s="1" t="s">
        <v>116</v>
      </c>
      <c r="L990" s="1">
        <v>2477089</v>
      </c>
      <c r="M990" s="1" t="s">
        <v>1148</v>
      </c>
      <c r="N990" s="8">
        <f>DATE(2018,2,5)</f>
        <v>43136</v>
      </c>
      <c r="O990" s="8">
        <f>DATE(2020,12,23)</f>
        <v>44188</v>
      </c>
      <c r="P990" s="1">
        <v>3672</v>
      </c>
      <c r="Q990" s="1">
        <v>1200</v>
      </c>
      <c r="R990" s="1">
        <f t="shared" si="317"/>
        <v>3200</v>
      </c>
      <c r="S990" s="1">
        <v>1.5</v>
      </c>
      <c r="U990" s="1">
        <f t="shared" si="318"/>
        <v>1053</v>
      </c>
      <c r="V990" s="7">
        <f t="shared" si="319"/>
        <v>3.0389363722697058</v>
      </c>
      <c r="W990" s="7">
        <f t="shared" si="320"/>
        <v>1109.2117758784427</v>
      </c>
      <c r="X990" s="7">
        <f t="shared" si="321"/>
        <v>1.3865147198480534</v>
      </c>
      <c r="AA990" s="8">
        <f t="shared" si="322"/>
        <v>44927</v>
      </c>
      <c r="AB990" s="8">
        <f t="shared" si="323"/>
        <v>45291</v>
      </c>
      <c r="AC990" s="1">
        <v>1</v>
      </c>
      <c r="AD990" s="1">
        <f t="shared" si="324"/>
        <v>0</v>
      </c>
      <c r="AE990" s="1">
        <f t="shared" si="325"/>
        <v>0</v>
      </c>
      <c r="AF990" s="1">
        <f t="shared" si="326"/>
        <v>0</v>
      </c>
      <c r="AG990" s="1">
        <f t="shared" si="327"/>
        <v>0</v>
      </c>
      <c r="AH990" s="1">
        <f t="shared" si="328"/>
        <v>182.5</v>
      </c>
      <c r="AI990" s="5">
        <f t="shared" si="329"/>
        <v>0.5</v>
      </c>
      <c r="AJ990" s="5">
        <f t="shared" si="330"/>
        <v>0.69325735992402671</v>
      </c>
      <c r="AK990" s="5">
        <f t="shared" si="331"/>
        <v>0.34662867996201335</v>
      </c>
      <c r="AL990" s="5">
        <f t="shared" si="332"/>
        <v>0.51994301994302006</v>
      </c>
      <c r="AM990" s="5">
        <f t="shared" si="333"/>
        <v>0</v>
      </c>
      <c r="AN990" s="5">
        <f t="shared" si="334"/>
        <v>0.51994301994302006</v>
      </c>
      <c r="AO990" s="1" t="s">
        <v>102</v>
      </c>
    </row>
    <row r="991" spans="1:41" x14ac:dyDescent="0.25">
      <c r="A991" s="1" t="s">
        <v>19</v>
      </c>
      <c r="B991" s="1" t="s">
        <v>48</v>
      </c>
      <c r="C991" s="1" t="s">
        <v>21</v>
      </c>
      <c r="D991" s="1" t="s">
        <v>49</v>
      </c>
      <c r="E991" s="1" t="s">
        <v>96</v>
      </c>
      <c r="F991" s="1" t="s">
        <v>103</v>
      </c>
      <c r="G991" s="1" t="s">
        <v>114</v>
      </c>
      <c r="H991" s="1" t="s">
        <v>212</v>
      </c>
      <c r="I991" s="1" t="s">
        <v>210</v>
      </c>
      <c r="J991" s="1" t="s">
        <v>101</v>
      </c>
      <c r="K991" s="1" t="s">
        <v>116</v>
      </c>
      <c r="L991" s="1">
        <v>2479394</v>
      </c>
      <c r="M991" s="1" t="s">
        <v>1149</v>
      </c>
      <c r="N991" s="8">
        <f>DATE(2018,2,5)</f>
        <v>43136</v>
      </c>
      <c r="O991" s="8">
        <f>DATE(2020,12,23)</f>
        <v>44188</v>
      </c>
      <c r="P991" s="1">
        <v>3706</v>
      </c>
      <c r="Q991" s="1">
        <v>1200</v>
      </c>
      <c r="R991" s="1">
        <f t="shared" si="317"/>
        <v>3200</v>
      </c>
      <c r="S991" s="1">
        <v>2.5</v>
      </c>
      <c r="U991" s="1">
        <f t="shared" si="318"/>
        <v>1053</v>
      </c>
      <c r="V991" s="7">
        <f t="shared" si="319"/>
        <v>3.0389363722697058</v>
      </c>
      <c r="W991" s="7">
        <f t="shared" si="320"/>
        <v>1109.2117758784427</v>
      </c>
      <c r="X991" s="7">
        <f t="shared" si="321"/>
        <v>1.3865147198480534</v>
      </c>
      <c r="AA991" s="8">
        <f t="shared" si="322"/>
        <v>44927</v>
      </c>
      <c r="AB991" s="8">
        <f t="shared" si="323"/>
        <v>45291</v>
      </c>
      <c r="AC991" s="1">
        <v>1</v>
      </c>
      <c r="AD991" s="1">
        <f t="shared" si="324"/>
        <v>0</v>
      </c>
      <c r="AE991" s="1">
        <f t="shared" si="325"/>
        <v>0</v>
      </c>
      <c r="AF991" s="1">
        <f t="shared" si="326"/>
        <v>0</v>
      </c>
      <c r="AG991" s="1">
        <f t="shared" si="327"/>
        <v>0</v>
      </c>
      <c r="AH991" s="1">
        <f t="shared" si="328"/>
        <v>182.5</v>
      </c>
      <c r="AI991" s="5">
        <f t="shared" si="329"/>
        <v>0.5</v>
      </c>
      <c r="AJ991" s="5">
        <f t="shared" si="330"/>
        <v>0.69325735992402671</v>
      </c>
      <c r="AK991" s="5">
        <f t="shared" si="331"/>
        <v>0.34662867996201335</v>
      </c>
      <c r="AL991" s="5">
        <f t="shared" si="332"/>
        <v>0.86657169990503335</v>
      </c>
      <c r="AM991" s="5">
        <f t="shared" si="333"/>
        <v>0</v>
      </c>
      <c r="AN991" s="5">
        <f t="shared" si="334"/>
        <v>0.86657169990503335</v>
      </c>
      <c r="AO991" s="1" t="s">
        <v>102</v>
      </c>
    </row>
    <row r="992" spans="1:41" x14ac:dyDescent="0.25">
      <c r="A992" s="1" t="s">
        <v>19</v>
      </c>
      <c r="B992" s="1" t="s">
        <v>48</v>
      </c>
      <c r="C992" s="1" t="s">
        <v>21</v>
      </c>
      <c r="D992" s="1" t="s">
        <v>49</v>
      </c>
      <c r="E992" s="1" t="s">
        <v>96</v>
      </c>
      <c r="F992" s="1" t="s">
        <v>103</v>
      </c>
      <c r="G992" s="1" t="s">
        <v>98</v>
      </c>
      <c r="H992" s="1" t="s">
        <v>542</v>
      </c>
      <c r="I992" s="1" t="s">
        <v>210</v>
      </c>
      <c r="J992" s="1" t="s">
        <v>101</v>
      </c>
      <c r="L992" s="1">
        <v>2490853</v>
      </c>
      <c r="M992" s="1" t="s">
        <v>1150</v>
      </c>
      <c r="N992" s="8">
        <f>DATE(2018,3,20)</f>
        <v>43179</v>
      </c>
      <c r="O992" s="8">
        <f>DATE(2022,12,23)</f>
        <v>44918</v>
      </c>
      <c r="P992" s="1">
        <v>4909</v>
      </c>
      <c r="Q992" s="1">
        <v>3600</v>
      </c>
      <c r="R992" s="1">
        <f t="shared" si="317"/>
        <v>3600</v>
      </c>
      <c r="S992" s="1">
        <v>2.5</v>
      </c>
      <c r="U992" s="1">
        <f t="shared" si="318"/>
        <v>1740</v>
      </c>
      <c r="V992" s="7">
        <f t="shared" si="319"/>
        <v>2.0689655172413794</v>
      </c>
      <c r="W992" s="7">
        <f t="shared" si="320"/>
        <v>755.17241379310349</v>
      </c>
      <c r="X992" s="7">
        <f t="shared" si="321"/>
        <v>0.94396551724137934</v>
      </c>
      <c r="AA992" s="8">
        <f t="shared" si="322"/>
        <v>44927</v>
      </c>
      <c r="AB992" s="8">
        <f t="shared" si="323"/>
        <v>45291</v>
      </c>
      <c r="AC992" s="1">
        <v>15</v>
      </c>
      <c r="AD992" s="1">
        <f t="shared" si="324"/>
        <v>0</v>
      </c>
      <c r="AE992" s="1">
        <f t="shared" si="325"/>
        <v>0</v>
      </c>
      <c r="AF992" s="1">
        <f t="shared" si="326"/>
        <v>0</v>
      </c>
      <c r="AG992" s="1">
        <f t="shared" si="327"/>
        <v>0</v>
      </c>
      <c r="AH992" s="1">
        <f t="shared" si="328"/>
        <v>182.5</v>
      </c>
      <c r="AI992" s="5">
        <f t="shared" si="329"/>
        <v>0.5</v>
      </c>
      <c r="AJ992" s="5">
        <f t="shared" si="330"/>
        <v>0.47198275862068967</v>
      </c>
      <c r="AK992" s="5">
        <f t="shared" si="331"/>
        <v>3.5398706896551726</v>
      </c>
      <c r="AL992" s="5">
        <f t="shared" si="332"/>
        <v>8.8496767241379324</v>
      </c>
      <c r="AM992" s="5">
        <f t="shared" si="333"/>
        <v>0</v>
      </c>
      <c r="AN992" s="5">
        <f t="shared" si="334"/>
        <v>8.8496767241379324</v>
      </c>
      <c r="AO992" s="1" t="s">
        <v>102</v>
      </c>
    </row>
    <row r="993" spans="1:41" x14ac:dyDescent="0.25">
      <c r="A993" s="1" t="s">
        <v>19</v>
      </c>
      <c r="B993" s="1" t="s">
        <v>48</v>
      </c>
      <c r="C993" s="1" t="s">
        <v>21</v>
      </c>
      <c r="D993" s="1" t="s">
        <v>49</v>
      </c>
      <c r="E993" s="1" t="s">
        <v>96</v>
      </c>
      <c r="F993" s="1" t="s">
        <v>103</v>
      </c>
      <c r="G993" s="1" t="s">
        <v>127</v>
      </c>
      <c r="H993" s="1" t="s">
        <v>1143</v>
      </c>
      <c r="I993" s="1" t="s">
        <v>162</v>
      </c>
      <c r="J993" s="1" t="s">
        <v>101</v>
      </c>
      <c r="L993" s="1">
        <v>2490857</v>
      </c>
      <c r="M993" s="1" t="s">
        <v>1151</v>
      </c>
      <c r="N993" s="8">
        <f>DATE(2018,3,20)</f>
        <v>43179</v>
      </c>
      <c r="O993" s="8">
        <f>DATE(2020,12,23)</f>
        <v>44188</v>
      </c>
      <c r="P993" s="1">
        <v>2160</v>
      </c>
      <c r="Q993" s="1">
        <v>2000</v>
      </c>
      <c r="R993" s="1">
        <f t="shared" si="317"/>
        <v>2000</v>
      </c>
      <c r="S993" s="1">
        <v>1.5</v>
      </c>
      <c r="U993" s="1">
        <f t="shared" si="318"/>
        <v>1010</v>
      </c>
      <c r="V993" s="7">
        <f t="shared" si="319"/>
        <v>1.9801980198019802</v>
      </c>
      <c r="W993" s="7">
        <f t="shared" si="320"/>
        <v>722.77227722772273</v>
      </c>
      <c r="X993" s="7">
        <f t="shared" si="321"/>
        <v>0.90346534653465338</v>
      </c>
      <c r="AA993" s="8">
        <f t="shared" si="322"/>
        <v>44927</v>
      </c>
      <c r="AB993" s="8">
        <f t="shared" si="323"/>
        <v>45291</v>
      </c>
      <c r="AC993" s="1">
        <v>8</v>
      </c>
      <c r="AD993" s="1">
        <f t="shared" si="324"/>
        <v>0</v>
      </c>
      <c r="AE993" s="1">
        <f t="shared" si="325"/>
        <v>0</v>
      </c>
      <c r="AF993" s="1">
        <f t="shared" si="326"/>
        <v>0</v>
      </c>
      <c r="AG993" s="1">
        <f t="shared" si="327"/>
        <v>0</v>
      </c>
      <c r="AH993" s="1">
        <f t="shared" si="328"/>
        <v>182.5</v>
      </c>
      <c r="AI993" s="5">
        <f t="shared" si="329"/>
        <v>0.5</v>
      </c>
      <c r="AJ993" s="5">
        <f t="shared" si="330"/>
        <v>0.45173267326732669</v>
      </c>
      <c r="AK993" s="5">
        <f t="shared" si="331"/>
        <v>1.8069306930693068</v>
      </c>
      <c r="AL993" s="5">
        <f t="shared" si="332"/>
        <v>2.7103960396039604</v>
      </c>
      <c r="AM993" s="5">
        <f t="shared" si="333"/>
        <v>0</v>
      </c>
      <c r="AN993" s="5">
        <f t="shared" si="334"/>
        <v>2.7103960396039604</v>
      </c>
      <c r="AO993" s="1" t="s">
        <v>102</v>
      </c>
    </row>
    <row r="994" spans="1:41" x14ac:dyDescent="0.25">
      <c r="A994" s="1" t="s">
        <v>19</v>
      </c>
      <c r="B994" s="1" t="s">
        <v>48</v>
      </c>
      <c r="C994" s="1" t="s">
        <v>21</v>
      </c>
      <c r="D994" s="1" t="s">
        <v>49</v>
      </c>
      <c r="E994" s="1" t="s">
        <v>96</v>
      </c>
      <c r="F994" s="1" t="s">
        <v>103</v>
      </c>
      <c r="G994" s="1" t="s">
        <v>114</v>
      </c>
      <c r="H994" s="1" t="s">
        <v>592</v>
      </c>
      <c r="I994" s="1" t="s">
        <v>210</v>
      </c>
      <c r="J994" s="1" t="s">
        <v>101</v>
      </c>
      <c r="K994" s="1" t="s">
        <v>175</v>
      </c>
      <c r="L994" s="1">
        <v>2491315</v>
      </c>
      <c r="M994" s="1" t="s">
        <v>1152</v>
      </c>
      <c r="N994" s="8">
        <f>DATE(2018,3,20)</f>
        <v>43179</v>
      </c>
      <c r="O994" s="8">
        <f>DATE(2019,12,23)</f>
        <v>43822</v>
      </c>
      <c r="P994" s="1">
        <v>1360</v>
      </c>
      <c r="Q994" s="1">
        <v>1200</v>
      </c>
      <c r="R994" s="1">
        <f t="shared" si="317"/>
        <v>1200</v>
      </c>
      <c r="S994" s="1">
        <v>2.5</v>
      </c>
      <c r="U994" s="1">
        <f t="shared" si="318"/>
        <v>644</v>
      </c>
      <c r="V994" s="7">
        <f t="shared" si="319"/>
        <v>1.8633540372670807</v>
      </c>
      <c r="W994" s="7">
        <f t="shared" si="320"/>
        <v>680.12422360248445</v>
      </c>
      <c r="X994" s="7">
        <f t="shared" si="321"/>
        <v>0.85015527950310554</v>
      </c>
      <c r="AA994" s="8">
        <f t="shared" si="322"/>
        <v>44927</v>
      </c>
      <c r="AB994" s="8">
        <f t="shared" si="323"/>
        <v>45291</v>
      </c>
      <c r="AC994" s="1">
        <v>0</v>
      </c>
      <c r="AD994" s="1">
        <f t="shared" si="324"/>
        <v>0</v>
      </c>
      <c r="AE994" s="1">
        <f t="shared" si="325"/>
        <v>0</v>
      </c>
      <c r="AF994" s="1">
        <f t="shared" si="326"/>
        <v>0</v>
      </c>
      <c r="AG994" s="1">
        <f t="shared" si="327"/>
        <v>0</v>
      </c>
      <c r="AH994" s="1">
        <f t="shared" si="328"/>
        <v>182.5</v>
      </c>
      <c r="AI994" s="5">
        <f t="shared" si="329"/>
        <v>0.5</v>
      </c>
      <c r="AJ994" s="5">
        <f t="shared" si="330"/>
        <v>0.42507763975155277</v>
      </c>
      <c r="AK994" s="5">
        <f t="shared" si="331"/>
        <v>0</v>
      </c>
      <c r="AL994" s="5">
        <f t="shared" si="332"/>
        <v>0</v>
      </c>
      <c r="AM994" s="5">
        <f t="shared" si="333"/>
        <v>0</v>
      </c>
      <c r="AN994" s="5">
        <f t="shared" si="334"/>
        <v>0</v>
      </c>
      <c r="AO994" s="1" t="s">
        <v>102</v>
      </c>
    </row>
    <row r="995" spans="1:41" x14ac:dyDescent="0.25">
      <c r="A995" s="1" t="s">
        <v>19</v>
      </c>
      <c r="B995" s="1" t="s">
        <v>48</v>
      </c>
      <c r="C995" s="1" t="s">
        <v>21</v>
      </c>
      <c r="D995" s="1" t="s">
        <v>49</v>
      </c>
      <c r="E995" s="1" t="s">
        <v>96</v>
      </c>
      <c r="F995" s="1" t="s">
        <v>103</v>
      </c>
      <c r="G995" s="1" t="s">
        <v>320</v>
      </c>
      <c r="H995" s="1" t="s">
        <v>321</v>
      </c>
      <c r="I995" s="1" t="s">
        <v>174</v>
      </c>
      <c r="J995" s="1" t="s">
        <v>101</v>
      </c>
      <c r="L995" s="1">
        <v>2490859</v>
      </c>
      <c r="M995" s="1" t="s">
        <v>1153</v>
      </c>
      <c r="N995" s="8">
        <f>DATE(2018,3,23)</f>
        <v>43182</v>
      </c>
      <c r="O995" s="8">
        <f>DATE(2021,12,23)</f>
        <v>44553</v>
      </c>
      <c r="P995" s="1">
        <v>3260</v>
      </c>
      <c r="Q995" s="1">
        <v>3200</v>
      </c>
      <c r="R995" s="1">
        <f t="shared" si="317"/>
        <v>3200</v>
      </c>
      <c r="S995" s="1">
        <v>2.5</v>
      </c>
      <c r="U995" s="1">
        <f t="shared" si="318"/>
        <v>1372</v>
      </c>
      <c r="V995" s="7">
        <f t="shared" si="319"/>
        <v>2.3323615160349855</v>
      </c>
      <c r="W995" s="7">
        <f t="shared" si="320"/>
        <v>851.31195335276971</v>
      </c>
      <c r="X995" s="7">
        <f t="shared" si="321"/>
        <v>1.064139941690962</v>
      </c>
      <c r="AA995" s="8">
        <f t="shared" si="322"/>
        <v>44927</v>
      </c>
      <c r="AB995" s="8">
        <f t="shared" si="323"/>
        <v>45291</v>
      </c>
      <c r="AC995" s="1">
        <v>8</v>
      </c>
      <c r="AD995" s="1">
        <f t="shared" si="324"/>
        <v>0</v>
      </c>
      <c r="AE995" s="1">
        <f t="shared" si="325"/>
        <v>0</v>
      </c>
      <c r="AF995" s="1">
        <f t="shared" si="326"/>
        <v>0</v>
      </c>
      <c r="AG995" s="1">
        <f t="shared" si="327"/>
        <v>0</v>
      </c>
      <c r="AH995" s="1">
        <f t="shared" si="328"/>
        <v>182.5</v>
      </c>
      <c r="AI995" s="5">
        <f t="shared" si="329"/>
        <v>0.5</v>
      </c>
      <c r="AJ995" s="5">
        <f t="shared" si="330"/>
        <v>0.53206997084548102</v>
      </c>
      <c r="AK995" s="5">
        <f t="shared" si="331"/>
        <v>2.1282798833819241</v>
      </c>
      <c r="AL995" s="5">
        <f t="shared" si="332"/>
        <v>5.3206997084548107</v>
      </c>
      <c r="AM995" s="5">
        <f t="shared" si="333"/>
        <v>0</v>
      </c>
      <c r="AN995" s="5">
        <f t="shared" si="334"/>
        <v>5.3206997084548107</v>
      </c>
      <c r="AO995" s="1" t="s">
        <v>102</v>
      </c>
    </row>
    <row r="996" spans="1:41" x14ac:dyDescent="0.25">
      <c r="A996" s="1" t="s">
        <v>19</v>
      </c>
      <c r="B996" s="1" t="s">
        <v>48</v>
      </c>
      <c r="C996" s="1" t="s">
        <v>21</v>
      </c>
      <c r="D996" s="1" t="s">
        <v>49</v>
      </c>
      <c r="E996" s="1" t="s">
        <v>96</v>
      </c>
      <c r="F996" s="1" t="s">
        <v>103</v>
      </c>
      <c r="G996" s="1" t="s">
        <v>114</v>
      </c>
      <c r="H996" s="1" t="s">
        <v>1154</v>
      </c>
      <c r="I996" s="1" t="s">
        <v>100</v>
      </c>
      <c r="J996" s="1" t="s">
        <v>101</v>
      </c>
      <c r="K996" s="1" t="s">
        <v>116</v>
      </c>
      <c r="L996" s="1">
        <v>2574914</v>
      </c>
      <c r="M996" s="1" t="s">
        <v>1155</v>
      </c>
      <c r="N996" s="8">
        <f t="shared" ref="N996:N1001" si="338">DATE(2019,2,4)</f>
        <v>43500</v>
      </c>
      <c r="O996" s="8">
        <f>DATE(2021,12,20)</f>
        <v>44550</v>
      </c>
      <c r="P996" s="1">
        <v>3504</v>
      </c>
      <c r="Q996" s="1">
        <v>800</v>
      </c>
      <c r="R996" s="1">
        <f t="shared" si="317"/>
        <v>3000</v>
      </c>
      <c r="S996" s="1">
        <v>1.5</v>
      </c>
      <c r="U996" s="1">
        <f t="shared" si="318"/>
        <v>1051</v>
      </c>
      <c r="V996" s="7">
        <f t="shared" si="319"/>
        <v>2.8544243577545196</v>
      </c>
      <c r="W996" s="7">
        <f t="shared" si="320"/>
        <v>1041.8648905803996</v>
      </c>
      <c r="X996" s="7">
        <f t="shared" si="321"/>
        <v>1.3023311132254995</v>
      </c>
      <c r="AA996" s="8">
        <f t="shared" si="322"/>
        <v>44927</v>
      </c>
      <c r="AB996" s="8">
        <f t="shared" si="323"/>
        <v>45291</v>
      </c>
      <c r="AC996" s="1">
        <v>1</v>
      </c>
      <c r="AD996" s="1">
        <f t="shared" si="324"/>
        <v>0</v>
      </c>
      <c r="AE996" s="1">
        <f t="shared" si="325"/>
        <v>0</v>
      </c>
      <c r="AF996" s="1">
        <f t="shared" si="326"/>
        <v>0</v>
      </c>
      <c r="AG996" s="1">
        <f t="shared" si="327"/>
        <v>0</v>
      </c>
      <c r="AH996" s="1">
        <f t="shared" si="328"/>
        <v>182.5</v>
      </c>
      <c r="AI996" s="5">
        <f t="shared" si="329"/>
        <v>0.5</v>
      </c>
      <c r="AJ996" s="5">
        <f t="shared" si="330"/>
        <v>0.65116555661274977</v>
      </c>
      <c r="AK996" s="5">
        <f t="shared" si="331"/>
        <v>0.32558277830637489</v>
      </c>
      <c r="AL996" s="5">
        <f t="shared" si="332"/>
        <v>0.4883741674595623</v>
      </c>
      <c r="AM996" s="5">
        <f t="shared" si="333"/>
        <v>0</v>
      </c>
      <c r="AN996" s="5">
        <f t="shared" si="334"/>
        <v>0.4883741674595623</v>
      </c>
      <c r="AO996" s="1" t="s">
        <v>102</v>
      </c>
    </row>
    <row r="997" spans="1:41" x14ac:dyDescent="0.25">
      <c r="A997" s="1" t="s">
        <v>19</v>
      </c>
      <c r="B997" s="1" t="s">
        <v>48</v>
      </c>
      <c r="C997" s="1" t="s">
        <v>21</v>
      </c>
      <c r="D997" s="1" t="s">
        <v>49</v>
      </c>
      <c r="E997" s="1" t="s">
        <v>96</v>
      </c>
      <c r="F997" s="1" t="s">
        <v>103</v>
      </c>
      <c r="G997" s="1" t="s">
        <v>114</v>
      </c>
      <c r="H997" s="1" t="s">
        <v>212</v>
      </c>
      <c r="I997" s="1" t="s">
        <v>210</v>
      </c>
      <c r="J997" s="1" t="s">
        <v>101</v>
      </c>
      <c r="K997" s="1" t="s">
        <v>116</v>
      </c>
      <c r="L997" s="1">
        <v>2575501</v>
      </c>
      <c r="M997" s="1" t="s">
        <v>213</v>
      </c>
      <c r="N997" s="8">
        <f t="shared" si="338"/>
        <v>43500</v>
      </c>
      <c r="O997" s="8">
        <f>DATE(2021,12,23)</f>
        <v>44553</v>
      </c>
      <c r="P997" s="1">
        <v>3706</v>
      </c>
      <c r="Q997" s="1">
        <v>1200</v>
      </c>
      <c r="R997" s="1">
        <f t="shared" si="317"/>
        <v>3200</v>
      </c>
      <c r="S997" s="1">
        <v>2.5</v>
      </c>
      <c r="U997" s="1">
        <f t="shared" si="318"/>
        <v>1054</v>
      </c>
      <c r="V997" s="7">
        <f t="shared" si="319"/>
        <v>3.0360531309297913</v>
      </c>
      <c r="W997" s="7">
        <f t="shared" si="320"/>
        <v>1108.1593927893739</v>
      </c>
      <c r="X997" s="7">
        <f t="shared" si="321"/>
        <v>1.3851992409867173</v>
      </c>
      <c r="AA997" s="8">
        <f t="shared" si="322"/>
        <v>44927</v>
      </c>
      <c r="AB997" s="8">
        <f t="shared" si="323"/>
        <v>45291</v>
      </c>
      <c r="AC997" s="1">
        <v>1</v>
      </c>
      <c r="AD997" s="1">
        <f t="shared" si="324"/>
        <v>0</v>
      </c>
      <c r="AE997" s="1">
        <f t="shared" si="325"/>
        <v>0</v>
      </c>
      <c r="AF997" s="1">
        <f t="shared" si="326"/>
        <v>0</v>
      </c>
      <c r="AG997" s="1">
        <f t="shared" si="327"/>
        <v>0</v>
      </c>
      <c r="AH997" s="1">
        <f t="shared" si="328"/>
        <v>182.5</v>
      </c>
      <c r="AI997" s="5">
        <f t="shared" si="329"/>
        <v>0.5</v>
      </c>
      <c r="AJ997" s="5">
        <f t="shared" si="330"/>
        <v>0.69259962049335866</v>
      </c>
      <c r="AK997" s="5">
        <f t="shared" si="331"/>
        <v>0.34629981024667933</v>
      </c>
      <c r="AL997" s="5">
        <f t="shared" si="332"/>
        <v>0.86574952561669827</v>
      </c>
      <c r="AM997" s="5">
        <f t="shared" si="333"/>
        <v>0</v>
      </c>
      <c r="AN997" s="5">
        <f t="shared" si="334"/>
        <v>0.86574952561669827</v>
      </c>
      <c r="AO997" s="1" t="s">
        <v>102</v>
      </c>
    </row>
    <row r="998" spans="1:41" x14ac:dyDescent="0.25">
      <c r="A998" s="1" t="s">
        <v>19</v>
      </c>
      <c r="B998" s="1" t="s">
        <v>48</v>
      </c>
      <c r="C998" s="1" t="s">
        <v>21</v>
      </c>
      <c r="D998" s="1" t="s">
        <v>49</v>
      </c>
      <c r="E998" s="1" t="s">
        <v>96</v>
      </c>
      <c r="F998" s="1" t="s">
        <v>103</v>
      </c>
      <c r="G998" s="1" t="s">
        <v>114</v>
      </c>
      <c r="H998" s="1" t="s">
        <v>592</v>
      </c>
      <c r="I998" s="1" t="s">
        <v>210</v>
      </c>
      <c r="J998" s="1" t="s">
        <v>101</v>
      </c>
      <c r="K998" s="1" t="s">
        <v>116</v>
      </c>
      <c r="L998" s="1">
        <v>2575502</v>
      </c>
      <c r="M998" s="1" t="s">
        <v>1156</v>
      </c>
      <c r="N998" s="8">
        <f t="shared" si="338"/>
        <v>43500</v>
      </c>
      <c r="O998" s="8">
        <f>DATE(2021,12,23)</f>
        <v>44553</v>
      </c>
      <c r="P998" s="1">
        <v>3672</v>
      </c>
      <c r="Q998" s="1">
        <v>1200</v>
      </c>
      <c r="R998" s="1">
        <f t="shared" si="317"/>
        <v>3200</v>
      </c>
      <c r="S998" s="1">
        <v>2.5</v>
      </c>
      <c r="U998" s="1">
        <f t="shared" si="318"/>
        <v>1054</v>
      </c>
      <c r="V998" s="7">
        <f t="shared" si="319"/>
        <v>3.0360531309297913</v>
      </c>
      <c r="W998" s="7">
        <f t="shared" si="320"/>
        <v>1108.1593927893739</v>
      </c>
      <c r="X998" s="7">
        <f t="shared" si="321"/>
        <v>1.3851992409867173</v>
      </c>
      <c r="AA998" s="8">
        <f t="shared" si="322"/>
        <v>44927</v>
      </c>
      <c r="AB998" s="8">
        <f t="shared" si="323"/>
        <v>45291</v>
      </c>
      <c r="AC998" s="1">
        <v>4</v>
      </c>
      <c r="AD998" s="1">
        <f t="shared" si="324"/>
        <v>0</v>
      </c>
      <c r="AE998" s="1">
        <f t="shared" si="325"/>
        <v>0</v>
      </c>
      <c r="AF998" s="1">
        <f t="shared" si="326"/>
        <v>0</v>
      </c>
      <c r="AG998" s="1">
        <f t="shared" si="327"/>
        <v>0</v>
      </c>
      <c r="AH998" s="1">
        <f t="shared" si="328"/>
        <v>182.5</v>
      </c>
      <c r="AI998" s="5">
        <f t="shared" si="329"/>
        <v>0.5</v>
      </c>
      <c r="AJ998" s="5">
        <f t="shared" si="330"/>
        <v>0.69259962049335866</v>
      </c>
      <c r="AK998" s="5">
        <f t="shared" si="331"/>
        <v>1.3851992409867173</v>
      </c>
      <c r="AL998" s="5">
        <f t="shared" si="332"/>
        <v>3.4629981024667931</v>
      </c>
      <c r="AM998" s="5">
        <f t="shared" si="333"/>
        <v>0</v>
      </c>
      <c r="AN998" s="5">
        <f t="shared" si="334"/>
        <v>3.4629981024667931</v>
      </c>
      <c r="AO998" s="1" t="s">
        <v>102</v>
      </c>
    </row>
    <row r="999" spans="1:41" x14ac:dyDescent="0.25">
      <c r="A999" s="1" t="s">
        <v>19</v>
      </c>
      <c r="B999" s="1" t="s">
        <v>48</v>
      </c>
      <c r="C999" s="1" t="s">
        <v>21</v>
      </c>
      <c r="D999" s="1" t="s">
        <v>49</v>
      </c>
      <c r="E999" s="1" t="s">
        <v>96</v>
      </c>
      <c r="F999" s="1" t="s">
        <v>103</v>
      </c>
      <c r="G999" s="1" t="s">
        <v>98</v>
      </c>
      <c r="H999" s="1" t="s">
        <v>542</v>
      </c>
      <c r="I999" s="1" t="s">
        <v>210</v>
      </c>
      <c r="J999" s="1" t="s">
        <v>101</v>
      </c>
      <c r="L999" s="1">
        <v>2575926</v>
      </c>
      <c r="M999" s="1" t="s">
        <v>1157</v>
      </c>
      <c r="N999" s="8">
        <f t="shared" si="338"/>
        <v>43500</v>
      </c>
      <c r="O999" s="8">
        <f>DATE(2023,12,22)</f>
        <v>45282</v>
      </c>
      <c r="P999" s="1">
        <v>4909</v>
      </c>
      <c r="Q999" s="1">
        <v>3600</v>
      </c>
      <c r="R999" s="1">
        <f t="shared" si="317"/>
        <v>3600</v>
      </c>
      <c r="S999" s="1">
        <v>2.5</v>
      </c>
      <c r="U999" s="1">
        <f t="shared" si="318"/>
        <v>1783</v>
      </c>
      <c r="V999" s="7">
        <f t="shared" si="319"/>
        <v>2.0190689848569825</v>
      </c>
      <c r="W999" s="7">
        <f t="shared" si="320"/>
        <v>736.96017947279859</v>
      </c>
      <c r="X999" s="7">
        <f t="shared" si="321"/>
        <v>0.92120022434099824</v>
      </c>
      <c r="AA999" s="8">
        <f t="shared" si="322"/>
        <v>44927</v>
      </c>
      <c r="AB999" s="8">
        <f t="shared" si="323"/>
        <v>45291</v>
      </c>
      <c r="AC999" s="1">
        <v>27</v>
      </c>
      <c r="AD999" s="1">
        <f t="shared" si="324"/>
        <v>0</v>
      </c>
      <c r="AE999" s="1">
        <f t="shared" si="325"/>
        <v>0</v>
      </c>
      <c r="AF999" s="1">
        <f t="shared" si="326"/>
        <v>356</v>
      </c>
      <c r="AG999" s="1">
        <f t="shared" si="327"/>
        <v>0</v>
      </c>
      <c r="AH999" s="1">
        <f t="shared" si="328"/>
        <v>0</v>
      </c>
      <c r="AI999" s="5">
        <f t="shared" si="329"/>
        <v>0.97534246575342465</v>
      </c>
      <c r="AJ999" s="5">
        <f t="shared" si="330"/>
        <v>0.89848569826135716</v>
      </c>
      <c r="AK999" s="5">
        <f t="shared" si="331"/>
        <v>24.259113853056643</v>
      </c>
      <c r="AL999" s="5">
        <f t="shared" si="332"/>
        <v>60.64778463264161</v>
      </c>
      <c r="AM999" s="5">
        <f t="shared" si="333"/>
        <v>0</v>
      </c>
      <c r="AN999" s="5">
        <f t="shared" si="334"/>
        <v>60.64778463264161</v>
      </c>
      <c r="AO999" s="1" t="s">
        <v>102</v>
      </c>
    </row>
    <row r="1000" spans="1:41" x14ac:dyDescent="0.25">
      <c r="A1000" s="1" t="s">
        <v>19</v>
      </c>
      <c r="B1000" s="1" t="s">
        <v>48</v>
      </c>
      <c r="C1000" s="1" t="s">
        <v>21</v>
      </c>
      <c r="D1000" s="1" t="s">
        <v>49</v>
      </c>
      <c r="E1000" s="1" t="s">
        <v>96</v>
      </c>
      <c r="F1000" s="1" t="s">
        <v>103</v>
      </c>
      <c r="G1000" s="1" t="s">
        <v>127</v>
      </c>
      <c r="H1000" s="1" t="s">
        <v>1143</v>
      </c>
      <c r="I1000" s="1" t="s">
        <v>162</v>
      </c>
      <c r="J1000" s="1" t="s">
        <v>101</v>
      </c>
      <c r="L1000" s="1">
        <v>2575971</v>
      </c>
      <c r="M1000" s="1" t="s">
        <v>1158</v>
      </c>
      <c r="N1000" s="8">
        <f t="shared" si="338"/>
        <v>43500</v>
      </c>
      <c r="O1000" s="8">
        <f>DATE(2021,12,23)</f>
        <v>44553</v>
      </c>
      <c r="P1000" s="1">
        <v>2160</v>
      </c>
      <c r="Q1000" s="1">
        <v>2000</v>
      </c>
      <c r="R1000" s="1">
        <f t="shared" si="317"/>
        <v>2000</v>
      </c>
      <c r="S1000" s="1">
        <v>1.5</v>
      </c>
      <c r="U1000" s="1">
        <f t="shared" si="318"/>
        <v>1054</v>
      </c>
      <c r="V1000" s="7">
        <f t="shared" si="319"/>
        <v>1.8975332068311195</v>
      </c>
      <c r="W1000" s="7">
        <f t="shared" si="320"/>
        <v>692.59962049335866</v>
      </c>
      <c r="X1000" s="7">
        <f t="shared" si="321"/>
        <v>0.86574952561669827</v>
      </c>
      <c r="AA1000" s="8">
        <f t="shared" si="322"/>
        <v>44927</v>
      </c>
      <c r="AB1000" s="8">
        <f t="shared" si="323"/>
        <v>45291</v>
      </c>
      <c r="AC1000" s="1">
        <v>8</v>
      </c>
      <c r="AD1000" s="1">
        <f t="shared" si="324"/>
        <v>0</v>
      </c>
      <c r="AE1000" s="1">
        <f t="shared" si="325"/>
        <v>0</v>
      </c>
      <c r="AF1000" s="1">
        <f t="shared" si="326"/>
        <v>0</v>
      </c>
      <c r="AG1000" s="1">
        <f t="shared" si="327"/>
        <v>0</v>
      </c>
      <c r="AH1000" s="1">
        <f t="shared" si="328"/>
        <v>182.5</v>
      </c>
      <c r="AI1000" s="5">
        <f t="shared" si="329"/>
        <v>0.5</v>
      </c>
      <c r="AJ1000" s="5">
        <f t="shared" si="330"/>
        <v>0.43287476280834913</v>
      </c>
      <c r="AK1000" s="5">
        <f t="shared" si="331"/>
        <v>1.7314990512333965</v>
      </c>
      <c r="AL1000" s="5">
        <f t="shared" si="332"/>
        <v>2.5972485768500948</v>
      </c>
      <c r="AM1000" s="5">
        <f t="shared" si="333"/>
        <v>0</v>
      </c>
      <c r="AN1000" s="5">
        <f t="shared" si="334"/>
        <v>2.5972485768500948</v>
      </c>
      <c r="AO1000" s="1" t="s">
        <v>102</v>
      </c>
    </row>
    <row r="1001" spans="1:41" x14ac:dyDescent="0.25">
      <c r="A1001" s="1" t="s">
        <v>19</v>
      </c>
      <c r="B1001" s="1" t="s">
        <v>48</v>
      </c>
      <c r="C1001" s="1" t="s">
        <v>21</v>
      </c>
      <c r="D1001" s="1" t="s">
        <v>49</v>
      </c>
      <c r="E1001" s="1" t="s">
        <v>96</v>
      </c>
      <c r="F1001" s="1" t="s">
        <v>103</v>
      </c>
      <c r="G1001" s="1" t="s">
        <v>320</v>
      </c>
      <c r="H1001" s="1" t="s">
        <v>321</v>
      </c>
      <c r="I1001" s="1" t="s">
        <v>174</v>
      </c>
      <c r="J1001" s="1" t="s">
        <v>101</v>
      </c>
      <c r="L1001" s="1">
        <v>2575981</v>
      </c>
      <c r="M1001" s="1" t="s">
        <v>1159</v>
      </c>
      <c r="N1001" s="8">
        <f t="shared" si="338"/>
        <v>43500</v>
      </c>
      <c r="O1001" s="8">
        <f>DATE(2022,12,22)</f>
        <v>44917</v>
      </c>
      <c r="P1001" s="1">
        <v>3260</v>
      </c>
      <c r="Q1001" s="1">
        <v>3200</v>
      </c>
      <c r="R1001" s="1">
        <f t="shared" si="317"/>
        <v>3200</v>
      </c>
      <c r="S1001" s="1">
        <v>2.5</v>
      </c>
      <c r="U1001" s="1">
        <f t="shared" si="318"/>
        <v>1418</v>
      </c>
      <c r="V1001" s="7">
        <f t="shared" si="319"/>
        <v>2.2566995768688294</v>
      </c>
      <c r="W1001" s="7">
        <f t="shared" si="320"/>
        <v>823.69534555712278</v>
      </c>
      <c r="X1001" s="7">
        <f t="shared" si="321"/>
        <v>1.0296191819464036</v>
      </c>
      <c r="AA1001" s="8">
        <f t="shared" si="322"/>
        <v>44927</v>
      </c>
      <c r="AB1001" s="8">
        <f t="shared" si="323"/>
        <v>45291</v>
      </c>
      <c r="AC1001" s="1">
        <v>18</v>
      </c>
      <c r="AD1001" s="1">
        <f t="shared" si="324"/>
        <v>0</v>
      </c>
      <c r="AE1001" s="1">
        <f t="shared" si="325"/>
        <v>0</v>
      </c>
      <c r="AF1001" s="1">
        <f t="shared" si="326"/>
        <v>0</v>
      </c>
      <c r="AG1001" s="1">
        <f t="shared" si="327"/>
        <v>0</v>
      </c>
      <c r="AH1001" s="1">
        <f t="shared" si="328"/>
        <v>182.5</v>
      </c>
      <c r="AI1001" s="5">
        <f t="shared" si="329"/>
        <v>0.5</v>
      </c>
      <c r="AJ1001" s="5">
        <f t="shared" si="330"/>
        <v>0.51480959097320178</v>
      </c>
      <c r="AK1001" s="5">
        <f t="shared" si="331"/>
        <v>4.6332863187588158</v>
      </c>
      <c r="AL1001" s="5">
        <f t="shared" si="332"/>
        <v>11.58321579689704</v>
      </c>
      <c r="AM1001" s="5">
        <f t="shared" si="333"/>
        <v>0</v>
      </c>
      <c r="AN1001" s="5">
        <f t="shared" si="334"/>
        <v>11.58321579689704</v>
      </c>
      <c r="AO1001" s="1" t="s">
        <v>102</v>
      </c>
    </row>
    <row r="1002" spans="1:41" x14ac:dyDescent="0.25">
      <c r="A1002" s="1" t="s">
        <v>19</v>
      </c>
      <c r="B1002" s="1" t="s">
        <v>48</v>
      </c>
      <c r="C1002" s="1" t="s">
        <v>21</v>
      </c>
      <c r="D1002" s="1" t="s">
        <v>49</v>
      </c>
      <c r="E1002" s="1" t="s">
        <v>96</v>
      </c>
      <c r="F1002" s="1" t="s">
        <v>103</v>
      </c>
      <c r="G1002" s="1" t="s">
        <v>98</v>
      </c>
      <c r="H1002" s="1" t="s">
        <v>542</v>
      </c>
      <c r="I1002" s="1" t="s">
        <v>210</v>
      </c>
      <c r="J1002" s="1" t="s">
        <v>101</v>
      </c>
      <c r="L1002" s="1">
        <v>2691293</v>
      </c>
      <c r="M1002" s="1" t="s">
        <v>1160</v>
      </c>
      <c r="N1002" s="8">
        <f t="shared" ref="N1002:N1009" si="339">DATE(2020,2,3)</f>
        <v>43864</v>
      </c>
      <c r="O1002" s="8">
        <f>DATE(2024,12,20)</f>
        <v>45646</v>
      </c>
      <c r="P1002" s="1">
        <v>3600</v>
      </c>
      <c r="Q1002" s="1">
        <v>3600</v>
      </c>
      <c r="R1002" s="1">
        <f t="shared" si="317"/>
        <v>3600</v>
      </c>
      <c r="S1002" s="1">
        <v>2.5</v>
      </c>
      <c r="U1002" s="1">
        <f t="shared" si="318"/>
        <v>1783</v>
      </c>
      <c r="V1002" s="7">
        <f t="shared" si="319"/>
        <v>2.0190689848569825</v>
      </c>
      <c r="W1002" s="7">
        <f t="shared" si="320"/>
        <v>736.96017947279859</v>
      </c>
      <c r="X1002" s="7">
        <f t="shared" si="321"/>
        <v>0.92120022434099824</v>
      </c>
      <c r="AA1002" s="8">
        <f t="shared" si="322"/>
        <v>44927</v>
      </c>
      <c r="AB1002" s="8">
        <f t="shared" si="323"/>
        <v>45291</v>
      </c>
      <c r="AC1002" s="1">
        <v>29</v>
      </c>
      <c r="AD1002" s="1">
        <f t="shared" si="324"/>
        <v>365</v>
      </c>
      <c r="AE1002" s="1">
        <f t="shared" si="325"/>
        <v>0</v>
      </c>
      <c r="AF1002" s="1">
        <f t="shared" si="326"/>
        <v>0</v>
      </c>
      <c r="AG1002" s="1">
        <f t="shared" si="327"/>
        <v>0</v>
      </c>
      <c r="AH1002" s="1">
        <f t="shared" si="328"/>
        <v>0</v>
      </c>
      <c r="AI1002" s="5">
        <f t="shared" si="329"/>
        <v>1</v>
      </c>
      <c r="AJ1002" s="5">
        <f t="shared" si="330"/>
        <v>0.92120022434099824</v>
      </c>
      <c r="AK1002" s="5">
        <f t="shared" si="331"/>
        <v>26.714806505888948</v>
      </c>
      <c r="AL1002" s="5">
        <f t="shared" si="332"/>
        <v>66.787016264722368</v>
      </c>
      <c r="AM1002" s="5">
        <f t="shared" si="333"/>
        <v>0</v>
      </c>
      <c r="AN1002" s="5">
        <f t="shared" si="334"/>
        <v>66.787016264722368</v>
      </c>
      <c r="AO1002" s="1" t="s">
        <v>102</v>
      </c>
    </row>
    <row r="1003" spans="1:41" x14ac:dyDescent="0.25">
      <c r="A1003" s="1" t="s">
        <v>19</v>
      </c>
      <c r="B1003" s="1" t="s">
        <v>48</v>
      </c>
      <c r="C1003" s="1" t="s">
        <v>21</v>
      </c>
      <c r="D1003" s="1" t="s">
        <v>49</v>
      </c>
      <c r="E1003" s="1" t="s">
        <v>96</v>
      </c>
      <c r="F1003" s="1" t="s">
        <v>103</v>
      </c>
      <c r="G1003" s="1" t="s">
        <v>127</v>
      </c>
      <c r="H1003" s="1" t="s">
        <v>1143</v>
      </c>
      <c r="I1003" s="1" t="s">
        <v>162</v>
      </c>
      <c r="J1003" s="1" t="s">
        <v>101</v>
      </c>
      <c r="L1003" s="1">
        <v>2691379</v>
      </c>
      <c r="M1003" s="1" t="s">
        <v>1161</v>
      </c>
      <c r="N1003" s="8">
        <f t="shared" si="339"/>
        <v>43864</v>
      </c>
      <c r="O1003" s="8">
        <f>DATE(2022,12,20)</f>
        <v>44915</v>
      </c>
      <c r="P1003" s="1">
        <v>2000</v>
      </c>
      <c r="Q1003" s="1">
        <v>2000</v>
      </c>
      <c r="R1003" s="1">
        <f t="shared" si="317"/>
        <v>2000</v>
      </c>
      <c r="S1003" s="1">
        <v>1.5</v>
      </c>
      <c r="U1003" s="1">
        <f t="shared" si="318"/>
        <v>1052</v>
      </c>
      <c r="V1003" s="7">
        <f t="shared" si="319"/>
        <v>1.9011406844106464</v>
      </c>
      <c r="W1003" s="7">
        <f t="shared" si="320"/>
        <v>693.9163498098859</v>
      </c>
      <c r="X1003" s="7">
        <f t="shared" si="321"/>
        <v>0.86739543726235735</v>
      </c>
      <c r="AA1003" s="8">
        <f t="shared" si="322"/>
        <v>44927</v>
      </c>
      <c r="AB1003" s="8">
        <f t="shared" si="323"/>
        <v>45291</v>
      </c>
      <c r="AC1003" s="1">
        <v>14</v>
      </c>
      <c r="AD1003" s="1">
        <f t="shared" si="324"/>
        <v>0</v>
      </c>
      <c r="AE1003" s="1">
        <f t="shared" si="325"/>
        <v>0</v>
      </c>
      <c r="AF1003" s="1">
        <f t="shared" si="326"/>
        <v>0</v>
      </c>
      <c r="AG1003" s="1">
        <f t="shared" si="327"/>
        <v>0</v>
      </c>
      <c r="AH1003" s="1">
        <f t="shared" si="328"/>
        <v>182.5</v>
      </c>
      <c r="AI1003" s="5">
        <f t="shared" si="329"/>
        <v>0.5</v>
      </c>
      <c r="AJ1003" s="5">
        <f t="shared" si="330"/>
        <v>0.43369771863117867</v>
      </c>
      <c r="AK1003" s="5">
        <f t="shared" si="331"/>
        <v>3.0358840304182508</v>
      </c>
      <c r="AL1003" s="5">
        <f t="shared" si="332"/>
        <v>4.5538260456273765</v>
      </c>
      <c r="AM1003" s="5">
        <f t="shared" si="333"/>
        <v>0</v>
      </c>
      <c r="AN1003" s="5">
        <f t="shared" si="334"/>
        <v>4.5538260456273765</v>
      </c>
      <c r="AO1003" s="1" t="s">
        <v>102</v>
      </c>
    </row>
    <row r="1004" spans="1:41" x14ac:dyDescent="0.25">
      <c r="A1004" s="1" t="s">
        <v>19</v>
      </c>
      <c r="B1004" s="1" t="s">
        <v>48</v>
      </c>
      <c r="C1004" s="1" t="s">
        <v>21</v>
      </c>
      <c r="D1004" s="1" t="s">
        <v>49</v>
      </c>
      <c r="E1004" s="1" t="s">
        <v>96</v>
      </c>
      <c r="F1004" s="1" t="s">
        <v>103</v>
      </c>
      <c r="G1004" s="1" t="s">
        <v>320</v>
      </c>
      <c r="H1004" s="1" t="s">
        <v>321</v>
      </c>
      <c r="I1004" s="1" t="s">
        <v>174</v>
      </c>
      <c r="J1004" s="1" t="s">
        <v>101</v>
      </c>
      <c r="L1004" s="1">
        <v>2691386</v>
      </c>
      <c r="M1004" s="1" t="s">
        <v>1162</v>
      </c>
      <c r="N1004" s="8">
        <f t="shared" si="339"/>
        <v>43864</v>
      </c>
      <c r="O1004" s="8">
        <f>DATE(2023,12,20)</f>
        <v>45280</v>
      </c>
      <c r="P1004" s="1">
        <v>2800</v>
      </c>
      <c r="Q1004" s="1">
        <v>3200</v>
      </c>
      <c r="R1004" s="1">
        <f t="shared" si="317"/>
        <v>3200</v>
      </c>
      <c r="S1004" s="1">
        <v>2.5</v>
      </c>
      <c r="U1004" s="1">
        <f t="shared" si="318"/>
        <v>1417</v>
      </c>
      <c r="V1004" s="7">
        <f t="shared" si="319"/>
        <v>1.9760056457304165</v>
      </c>
      <c r="W1004" s="7">
        <f t="shared" si="320"/>
        <v>721.24206069160198</v>
      </c>
      <c r="X1004" s="7">
        <f t="shared" si="321"/>
        <v>0.90155257586450244</v>
      </c>
      <c r="AA1004" s="8">
        <f t="shared" si="322"/>
        <v>44927</v>
      </c>
      <c r="AB1004" s="8">
        <f t="shared" si="323"/>
        <v>45291</v>
      </c>
      <c r="AC1004" s="1">
        <v>36</v>
      </c>
      <c r="AD1004" s="1">
        <f t="shared" si="324"/>
        <v>0</v>
      </c>
      <c r="AE1004" s="1">
        <f t="shared" si="325"/>
        <v>0</v>
      </c>
      <c r="AF1004" s="1">
        <f t="shared" si="326"/>
        <v>354</v>
      </c>
      <c r="AG1004" s="1">
        <f t="shared" si="327"/>
        <v>0</v>
      </c>
      <c r="AH1004" s="1">
        <f t="shared" si="328"/>
        <v>0</v>
      </c>
      <c r="AI1004" s="5">
        <f t="shared" si="329"/>
        <v>0.96986301369863015</v>
      </c>
      <c r="AJ1004" s="5">
        <f t="shared" si="330"/>
        <v>0.87438249823570924</v>
      </c>
      <c r="AK1004" s="5">
        <f t="shared" si="331"/>
        <v>31.477769936485533</v>
      </c>
      <c r="AL1004" s="5">
        <f t="shared" si="332"/>
        <v>78.694424841213831</v>
      </c>
      <c r="AM1004" s="5">
        <f t="shared" si="333"/>
        <v>0</v>
      </c>
      <c r="AN1004" s="5">
        <f t="shared" si="334"/>
        <v>78.694424841213831</v>
      </c>
      <c r="AO1004" s="1" t="s">
        <v>102</v>
      </c>
    </row>
    <row r="1005" spans="1:41" x14ac:dyDescent="0.25">
      <c r="A1005" s="1" t="s">
        <v>19</v>
      </c>
      <c r="B1005" s="1" t="s">
        <v>48</v>
      </c>
      <c r="C1005" s="1" t="s">
        <v>21</v>
      </c>
      <c r="D1005" s="1" t="s">
        <v>49</v>
      </c>
      <c r="E1005" s="1" t="s">
        <v>96</v>
      </c>
      <c r="F1005" s="1" t="s">
        <v>103</v>
      </c>
      <c r="G1005" s="1" t="s">
        <v>114</v>
      </c>
      <c r="H1005" s="1" t="s">
        <v>247</v>
      </c>
      <c r="I1005" s="1" t="s">
        <v>162</v>
      </c>
      <c r="J1005" s="1" t="s">
        <v>101</v>
      </c>
      <c r="K1005" s="1" t="s">
        <v>116</v>
      </c>
      <c r="L1005" s="1">
        <v>2737505</v>
      </c>
      <c r="M1005" s="1" t="s">
        <v>1163</v>
      </c>
      <c r="N1005" s="8">
        <f t="shared" si="339"/>
        <v>43864</v>
      </c>
      <c r="O1005" s="8">
        <f>DATE(2022,12,31)</f>
        <v>44926</v>
      </c>
      <c r="P1005" s="1">
        <v>3672</v>
      </c>
      <c r="Q1005" s="1">
        <v>1200</v>
      </c>
      <c r="R1005" s="1">
        <f t="shared" si="317"/>
        <v>3200</v>
      </c>
      <c r="S1005" s="1">
        <v>1.5</v>
      </c>
      <c r="U1005" s="1">
        <f t="shared" si="318"/>
        <v>1063</v>
      </c>
      <c r="V1005" s="7">
        <f t="shared" si="319"/>
        <v>3.0103480714957667</v>
      </c>
      <c r="W1005" s="7">
        <f t="shared" si="320"/>
        <v>1098.7770460959548</v>
      </c>
      <c r="X1005" s="7">
        <f t="shared" si="321"/>
        <v>1.3734713076199434</v>
      </c>
      <c r="AA1005" s="8">
        <f t="shared" si="322"/>
        <v>44927</v>
      </c>
      <c r="AB1005" s="8">
        <f t="shared" si="323"/>
        <v>45291</v>
      </c>
      <c r="AC1005" s="1">
        <v>2</v>
      </c>
      <c r="AD1005" s="1">
        <f t="shared" si="324"/>
        <v>0</v>
      </c>
      <c r="AE1005" s="1">
        <f t="shared" si="325"/>
        <v>0</v>
      </c>
      <c r="AF1005" s="1">
        <f t="shared" si="326"/>
        <v>0</v>
      </c>
      <c r="AG1005" s="1">
        <f t="shared" si="327"/>
        <v>0</v>
      </c>
      <c r="AH1005" s="1">
        <f t="shared" si="328"/>
        <v>182.5</v>
      </c>
      <c r="AI1005" s="5">
        <f t="shared" si="329"/>
        <v>0.5</v>
      </c>
      <c r="AJ1005" s="5">
        <f t="shared" si="330"/>
        <v>0.6867356538099717</v>
      </c>
      <c r="AK1005" s="5">
        <f t="shared" si="331"/>
        <v>0.6867356538099717</v>
      </c>
      <c r="AL1005" s="5">
        <f t="shared" si="332"/>
        <v>1.0301034807149576</v>
      </c>
      <c r="AM1005" s="5">
        <f t="shared" si="333"/>
        <v>0</v>
      </c>
      <c r="AN1005" s="5">
        <f t="shared" si="334"/>
        <v>1.0301034807149576</v>
      </c>
      <c r="AO1005" s="1" t="s">
        <v>102</v>
      </c>
    </row>
    <row r="1006" spans="1:41" x14ac:dyDescent="0.25">
      <c r="A1006" s="1" t="s">
        <v>19</v>
      </c>
      <c r="B1006" s="1" t="s">
        <v>48</v>
      </c>
      <c r="C1006" s="1" t="s">
        <v>21</v>
      </c>
      <c r="D1006" s="1" t="s">
        <v>49</v>
      </c>
      <c r="E1006" s="1" t="s">
        <v>96</v>
      </c>
      <c r="F1006" s="1" t="s">
        <v>103</v>
      </c>
      <c r="G1006" s="1" t="s">
        <v>114</v>
      </c>
      <c r="H1006" s="1" t="s">
        <v>212</v>
      </c>
      <c r="I1006" s="1" t="s">
        <v>210</v>
      </c>
      <c r="J1006" s="1" t="s">
        <v>101</v>
      </c>
      <c r="K1006" s="1" t="s">
        <v>116</v>
      </c>
      <c r="L1006" s="1">
        <v>2737525</v>
      </c>
      <c r="M1006" s="1" t="s">
        <v>217</v>
      </c>
      <c r="N1006" s="8">
        <f t="shared" si="339"/>
        <v>43864</v>
      </c>
      <c r="O1006" s="8">
        <f>DATE(2022,12,31)</f>
        <v>44926</v>
      </c>
      <c r="P1006" s="1">
        <v>3706</v>
      </c>
      <c r="Q1006" s="1">
        <v>1200</v>
      </c>
      <c r="R1006" s="1">
        <f t="shared" si="317"/>
        <v>3200</v>
      </c>
      <c r="S1006" s="1">
        <v>2.5</v>
      </c>
      <c r="U1006" s="1">
        <f t="shared" si="318"/>
        <v>1063</v>
      </c>
      <c r="V1006" s="7">
        <f t="shared" si="319"/>
        <v>3.0103480714957667</v>
      </c>
      <c r="W1006" s="7">
        <f t="shared" si="320"/>
        <v>1098.7770460959548</v>
      </c>
      <c r="X1006" s="7">
        <f t="shared" si="321"/>
        <v>1.3734713076199434</v>
      </c>
      <c r="AA1006" s="8">
        <f t="shared" si="322"/>
        <v>44927</v>
      </c>
      <c r="AB1006" s="8">
        <f t="shared" si="323"/>
        <v>45291</v>
      </c>
      <c r="AC1006" s="1">
        <v>4</v>
      </c>
      <c r="AD1006" s="1">
        <f t="shared" si="324"/>
        <v>0</v>
      </c>
      <c r="AE1006" s="1">
        <f t="shared" si="325"/>
        <v>0</v>
      </c>
      <c r="AF1006" s="1">
        <f t="shared" si="326"/>
        <v>0</v>
      </c>
      <c r="AG1006" s="1">
        <f t="shared" si="327"/>
        <v>0</v>
      </c>
      <c r="AH1006" s="1">
        <f t="shared" si="328"/>
        <v>182.5</v>
      </c>
      <c r="AI1006" s="5">
        <f t="shared" si="329"/>
        <v>0.5</v>
      </c>
      <c r="AJ1006" s="5">
        <f t="shared" si="330"/>
        <v>0.6867356538099717</v>
      </c>
      <c r="AK1006" s="5">
        <f t="shared" si="331"/>
        <v>1.3734713076199434</v>
      </c>
      <c r="AL1006" s="5">
        <f t="shared" si="332"/>
        <v>3.4336782690498584</v>
      </c>
      <c r="AM1006" s="5">
        <f t="shared" si="333"/>
        <v>0</v>
      </c>
      <c r="AN1006" s="5">
        <f t="shared" si="334"/>
        <v>3.4336782690498584</v>
      </c>
      <c r="AO1006" s="1" t="s">
        <v>102</v>
      </c>
    </row>
    <row r="1007" spans="1:41" x14ac:dyDescent="0.25">
      <c r="A1007" s="1" t="s">
        <v>19</v>
      </c>
      <c r="B1007" s="1" t="s">
        <v>48</v>
      </c>
      <c r="C1007" s="1" t="s">
        <v>21</v>
      </c>
      <c r="D1007" s="1" t="s">
        <v>49</v>
      </c>
      <c r="E1007" s="1" t="s">
        <v>96</v>
      </c>
      <c r="F1007" s="1" t="s">
        <v>103</v>
      </c>
      <c r="G1007" s="1" t="s">
        <v>114</v>
      </c>
      <c r="H1007" s="1" t="s">
        <v>592</v>
      </c>
      <c r="I1007" s="1" t="s">
        <v>210</v>
      </c>
      <c r="J1007" s="1" t="s">
        <v>101</v>
      </c>
      <c r="K1007" s="1" t="s">
        <v>116</v>
      </c>
      <c r="L1007" s="1">
        <v>2737837</v>
      </c>
      <c r="M1007" s="1" t="s">
        <v>1164</v>
      </c>
      <c r="N1007" s="8">
        <f t="shared" si="339"/>
        <v>43864</v>
      </c>
      <c r="O1007" s="8">
        <f>DATE(2022,12,31)</f>
        <v>44926</v>
      </c>
      <c r="P1007" s="1">
        <v>3672</v>
      </c>
      <c r="Q1007" s="1">
        <v>1200</v>
      </c>
      <c r="R1007" s="1">
        <f t="shared" si="317"/>
        <v>3200</v>
      </c>
      <c r="S1007" s="1">
        <v>2.5</v>
      </c>
      <c r="U1007" s="1">
        <f t="shared" si="318"/>
        <v>1063</v>
      </c>
      <c r="V1007" s="7">
        <f t="shared" si="319"/>
        <v>3.0103480714957667</v>
      </c>
      <c r="W1007" s="7">
        <f t="shared" si="320"/>
        <v>1098.7770460959548</v>
      </c>
      <c r="X1007" s="7">
        <f t="shared" si="321"/>
        <v>1.3734713076199434</v>
      </c>
      <c r="AA1007" s="8">
        <f t="shared" si="322"/>
        <v>44927</v>
      </c>
      <c r="AB1007" s="8">
        <f t="shared" si="323"/>
        <v>45291</v>
      </c>
      <c r="AC1007" s="1">
        <v>6</v>
      </c>
      <c r="AD1007" s="1">
        <f t="shared" si="324"/>
        <v>0</v>
      </c>
      <c r="AE1007" s="1">
        <f t="shared" si="325"/>
        <v>0</v>
      </c>
      <c r="AF1007" s="1">
        <f t="shared" si="326"/>
        <v>0</v>
      </c>
      <c r="AG1007" s="1">
        <f t="shared" si="327"/>
        <v>0</v>
      </c>
      <c r="AH1007" s="1">
        <f t="shared" si="328"/>
        <v>182.5</v>
      </c>
      <c r="AI1007" s="5">
        <f t="shared" si="329"/>
        <v>0.5</v>
      </c>
      <c r="AJ1007" s="5">
        <f t="shared" si="330"/>
        <v>0.6867356538099717</v>
      </c>
      <c r="AK1007" s="5">
        <f t="shared" si="331"/>
        <v>2.0602069614299152</v>
      </c>
      <c r="AL1007" s="5">
        <f t="shared" si="332"/>
        <v>5.1505174035747885</v>
      </c>
      <c r="AM1007" s="5">
        <f t="shared" si="333"/>
        <v>0</v>
      </c>
      <c r="AN1007" s="5">
        <f t="shared" si="334"/>
        <v>5.1505174035747885</v>
      </c>
      <c r="AO1007" s="1" t="s">
        <v>102</v>
      </c>
    </row>
    <row r="1008" spans="1:41" x14ac:dyDescent="0.25">
      <c r="A1008" s="1" t="s">
        <v>19</v>
      </c>
      <c r="B1008" s="1" t="s">
        <v>48</v>
      </c>
      <c r="C1008" s="1" t="s">
        <v>21</v>
      </c>
      <c r="D1008" s="1" t="s">
        <v>49</v>
      </c>
      <c r="E1008" s="1" t="s">
        <v>96</v>
      </c>
      <c r="F1008" s="1" t="s">
        <v>103</v>
      </c>
      <c r="G1008" s="1" t="s">
        <v>114</v>
      </c>
      <c r="H1008" s="1" t="s">
        <v>1154</v>
      </c>
      <c r="I1008" s="1" t="s">
        <v>100</v>
      </c>
      <c r="J1008" s="1" t="s">
        <v>101</v>
      </c>
      <c r="K1008" s="1" t="s">
        <v>116</v>
      </c>
      <c r="L1008" s="1">
        <v>2737878</v>
      </c>
      <c r="M1008" s="1" t="s">
        <v>1165</v>
      </c>
      <c r="N1008" s="8">
        <f t="shared" si="339"/>
        <v>43864</v>
      </c>
      <c r="O1008" s="8">
        <f>DATE(2022,12,31)</f>
        <v>44926</v>
      </c>
      <c r="P1008" s="1">
        <v>3504</v>
      </c>
      <c r="Q1008" s="1">
        <v>800</v>
      </c>
      <c r="R1008" s="1">
        <f t="shared" si="317"/>
        <v>3000</v>
      </c>
      <c r="S1008" s="1">
        <v>1.5</v>
      </c>
      <c r="U1008" s="1">
        <f t="shared" si="318"/>
        <v>1063</v>
      </c>
      <c r="V1008" s="7">
        <f t="shared" si="319"/>
        <v>2.8222013170272815</v>
      </c>
      <c r="W1008" s="7">
        <f t="shared" si="320"/>
        <v>1030.1034807149576</v>
      </c>
      <c r="X1008" s="7">
        <f t="shared" si="321"/>
        <v>1.2876293508936971</v>
      </c>
      <c r="AA1008" s="8">
        <f t="shared" si="322"/>
        <v>44927</v>
      </c>
      <c r="AB1008" s="8">
        <f t="shared" si="323"/>
        <v>45291</v>
      </c>
      <c r="AC1008" s="1">
        <v>3</v>
      </c>
      <c r="AD1008" s="1">
        <f t="shared" si="324"/>
        <v>0</v>
      </c>
      <c r="AE1008" s="1">
        <f t="shared" si="325"/>
        <v>0</v>
      </c>
      <c r="AF1008" s="1">
        <f t="shared" si="326"/>
        <v>0</v>
      </c>
      <c r="AG1008" s="1">
        <f t="shared" si="327"/>
        <v>0</v>
      </c>
      <c r="AH1008" s="1">
        <f t="shared" si="328"/>
        <v>182.5</v>
      </c>
      <c r="AI1008" s="5">
        <f t="shared" si="329"/>
        <v>0.5</v>
      </c>
      <c r="AJ1008" s="5">
        <f t="shared" si="330"/>
        <v>0.64381467544684856</v>
      </c>
      <c r="AK1008" s="5">
        <f t="shared" si="331"/>
        <v>0.96572201317027284</v>
      </c>
      <c r="AL1008" s="5">
        <f t="shared" si="332"/>
        <v>1.4485830197554093</v>
      </c>
      <c r="AM1008" s="5">
        <f t="shared" si="333"/>
        <v>0</v>
      </c>
      <c r="AN1008" s="5">
        <f t="shared" si="334"/>
        <v>1.4485830197554093</v>
      </c>
      <c r="AO1008" s="1" t="s">
        <v>102</v>
      </c>
    </row>
    <row r="1009" spans="1:41" x14ac:dyDescent="0.25">
      <c r="A1009" s="1" t="s">
        <v>19</v>
      </c>
      <c r="B1009" s="1" t="s">
        <v>48</v>
      </c>
      <c r="C1009" s="1" t="s">
        <v>21</v>
      </c>
      <c r="D1009" s="1" t="s">
        <v>49</v>
      </c>
      <c r="E1009" s="1" t="s">
        <v>96</v>
      </c>
      <c r="F1009" s="1" t="s">
        <v>103</v>
      </c>
      <c r="G1009" s="1" t="s">
        <v>114</v>
      </c>
      <c r="H1009" s="1" t="s">
        <v>592</v>
      </c>
      <c r="I1009" s="1" t="s">
        <v>210</v>
      </c>
      <c r="J1009" s="1" t="s">
        <v>101</v>
      </c>
      <c r="K1009" s="1" t="s">
        <v>175</v>
      </c>
      <c r="L1009" s="1">
        <v>2737926</v>
      </c>
      <c r="M1009" s="1" t="s">
        <v>1166</v>
      </c>
      <c r="N1009" s="8">
        <f t="shared" si="339"/>
        <v>43864</v>
      </c>
      <c r="O1009" s="8">
        <f>DATE(2021,12,31)</f>
        <v>44561</v>
      </c>
      <c r="P1009" s="1">
        <v>1360</v>
      </c>
      <c r="Q1009" s="1">
        <v>1200</v>
      </c>
      <c r="R1009" s="1">
        <f t="shared" si="317"/>
        <v>1200</v>
      </c>
      <c r="S1009" s="1">
        <v>2.5</v>
      </c>
      <c r="U1009" s="1">
        <f t="shared" si="318"/>
        <v>698</v>
      </c>
      <c r="V1009" s="7">
        <f t="shared" si="319"/>
        <v>1.7191977077363896</v>
      </c>
      <c r="W1009" s="7">
        <f t="shared" si="320"/>
        <v>627.50716332378215</v>
      </c>
      <c r="X1009" s="7">
        <f t="shared" si="321"/>
        <v>0.78438395415472772</v>
      </c>
      <c r="AA1009" s="8">
        <f t="shared" si="322"/>
        <v>44927</v>
      </c>
      <c r="AB1009" s="8">
        <f t="shared" si="323"/>
        <v>45291</v>
      </c>
      <c r="AC1009" s="1">
        <v>2</v>
      </c>
      <c r="AD1009" s="1">
        <f t="shared" si="324"/>
        <v>0</v>
      </c>
      <c r="AE1009" s="1">
        <f t="shared" si="325"/>
        <v>0</v>
      </c>
      <c r="AF1009" s="1">
        <f t="shared" si="326"/>
        <v>0</v>
      </c>
      <c r="AG1009" s="1">
        <f t="shared" si="327"/>
        <v>0</v>
      </c>
      <c r="AH1009" s="1">
        <f t="shared" si="328"/>
        <v>182.5</v>
      </c>
      <c r="AI1009" s="5">
        <f t="shared" si="329"/>
        <v>0.5</v>
      </c>
      <c r="AJ1009" s="5">
        <f t="shared" si="330"/>
        <v>0.39219197707736386</v>
      </c>
      <c r="AK1009" s="5">
        <f t="shared" si="331"/>
        <v>0.39219197707736386</v>
      </c>
      <c r="AL1009" s="5">
        <f t="shared" si="332"/>
        <v>0.98047994269340966</v>
      </c>
      <c r="AM1009" s="5">
        <f t="shared" si="333"/>
        <v>0</v>
      </c>
      <c r="AN1009" s="5">
        <f t="shared" si="334"/>
        <v>0.98047994269340966</v>
      </c>
      <c r="AO1009" s="1" t="s">
        <v>102</v>
      </c>
    </row>
    <row r="1010" spans="1:41" x14ac:dyDescent="0.25">
      <c r="A1010" s="1" t="s">
        <v>19</v>
      </c>
      <c r="B1010" s="1" t="s">
        <v>48</v>
      </c>
      <c r="C1010" s="1" t="s">
        <v>21</v>
      </c>
      <c r="D1010" s="1" t="s">
        <v>49</v>
      </c>
      <c r="E1010" s="1" t="s">
        <v>96</v>
      </c>
      <c r="F1010" s="1" t="s">
        <v>103</v>
      </c>
      <c r="G1010" s="1" t="s">
        <v>114</v>
      </c>
      <c r="H1010" s="1" t="s">
        <v>212</v>
      </c>
      <c r="I1010" s="1" t="s">
        <v>210</v>
      </c>
      <c r="J1010" s="1" t="s">
        <v>101</v>
      </c>
      <c r="K1010" s="1" t="s">
        <v>116</v>
      </c>
      <c r="L1010" s="1">
        <v>2758426</v>
      </c>
      <c r="M1010" s="1" t="s">
        <v>1167</v>
      </c>
      <c r="N1010" s="8">
        <f>DATE(2021,2,3)</f>
        <v>44230</v>
      </c>
      <c r="O1010" s="8">
        <f>DATE(2023,12,23)</f>
        <v>45283</v>
      </c>
      <c r="P1010" s="1">
        <v>3706</v>
      </c>
      <c r="Q1010" s="1">
        <v>1200</v>
      </c>
      <c r="R1010" s="1">
        <f t="shared" si="317"/>
        <v>3200</v>
      </c>
      <c r="S1010" s="1">
        <v>2.5</v>
      </c>
      <c r="U1010" s="1">
        <f t="shared" si="318"/>
        <v>1054</v>
      </c>
      <c r="V1010" s="7">
        <f t="shared" si="319"/>
        <v>3.0360531309297913</v>
      </c>
      <c r="W1010" s="7">
        <f t="shared" si="320"/>
        <v>1108.1593927893739</v>
      </c>
      <c r="X1010" s="7">
        <f t="shared" si="321"/>
        <v>1.3851992409867173</v>
      </c>
      <c r="AA1010" s="8">
        <f t="shared" si="322"/>
        <v>44927</v>
      </c>
      <c r="AB1010" s="8">
        <f t="shared" si="323"/>
        <v>45291</v>
      </c>
      <c r="AC1010" s="1">
        <v>52</v>
      </c>
      <c r="AD1010" s="1">
        <f t="shared" si="324"/>
        <v>0</v>
      </c>
      <c r="AE1010" s="1">
        <f t="shared" si="325"/>
        <v>0</v>
      </c>
      <c r="AF1010" s="1">
        <f t="shared" si="326"/>
        <v>357</v>
      </c>
      <c r="AG1010" s="1">
        <f t="shared" si="327"/>
        <v>0</v>
      </c>
      <c r="AH1010" s="1">
        <f t="shared" si="328"/>
        <v>0</v>
      </c>
      <c r="AI1010" s="5">
        <f t="shared" si="329"/>
        <v>0.9780821917808219</v>
      </c>
      <c r="AJ1010" s="5">
        <f t="shared" si="330"/>
        <v>1.3548387096774195</v>
      </c>
      <c r="AK1010" s="5">
        <f t="shared" si="331"/>
        <v>70.451612903225808</v>
      </c>
      <c r="AL1010" s="5">
        <f t="shared" si="332"/>
        <v>176.12903225806451</v>
      </c>
      <c r="AM1010" s="5">
        <f t="shared" si="333"/>
        <v>0</v>
      </c>
      <c r="AN1010" s="5">
        <f t="shared" si="334"/>
        <v>176.12903225806451</v>
      </c>
      <c r="AO1010" s="1" t="s">
        <v>102</v>
      </c>
    </row>
    <row r="1011" spans="1:41" x14ac:dyDescent="0.25">
      <c r="A1011" s="1" t="s">
        <v>19</v>
      </c>
      <c r="B1011" s="1" t="s">
        <v>48</v>
      </c>
      <c r="C1011" s="1" t="s">
        <v>21</v>
      </c>
      <c r="D1011" s="1" t="s">
        <v>49</v>
      </c>
      <c r="E1011" s="1" t="s">
        <v>96</v>
      </c>
      <c r="F1011" s="1" t="s">
        <v>103</v>
      </c>
      <c r="G1011" s="1" t="s">
        <v>114</v>
      </c>
      <c r="H1011" s="1" t="s">
        <v>592</v>
      </c>
      <c r="I1011" s="1" t="s">
        <v>210</v>
      </c>
      <c r="J1011" s="1" t="s">
        <v>101</v>
      </c>
      <c r="K1011" s="1" t="s">
        <v>116</v>
      </c>
      <c r="L1011" s="1">
        <v>2758428</v>
      </c>
      <c r="M1011" s="1" t="s">
        <v>1168</v>
      </c>
      <c r="N1011" s="8">
        <f>DATE(2021,2,3)</f>
        <v>44230</v>
      </c>
      <c r="O1011" s="8">
        <f>DATE(2023,12,23)</f>
        <v>45283</v>
      </c>
      <c r="P1011" s="1">
        <v>3672</v>
      </c>
      <c r="Q1011" s="1">
        <v>1200</v>
      </c>
      <c r="R1011" s="1">
        <f t="shared" si="317"/>
        <v>3200</v>
      </c>
      <c r="S1011" s="1">
        <v>2.5</v>
      </c>
      <c r="U1011" s="1">
        <f t="shared" si="318"/>
        <v>1054</v>
      </c>
      <c r="V1011" s="7">
        <f t="shared" si="319"/>
        <v>3.0360531309297913</v>
      </c>
      <c r="W1011" s="7">
        <f t="shared" si="320"/>
        <v>1108.1593927893739</v>
      </c>
      <c r="X1011" s="7">
        <f t="shared" si="321"/>
        <v>1.3851992409867173</v>
      </c>
      <c r="AA1011" s="8">
        <f t="shared" si="322"/>
        <v>44927</v>
      </c>
      <c r="AB1011" s="8">
        <f t="shared" si="323"/>
        <v>45291</v>
      </c>
      <c r="AC1011" s="1">
        <v>52</v>
      </c>
      <c r="AD1011" s="1">
        <f t="shared" si="324"/>
        <v>0</v>
      </c>
      <c r="AE1011" s="1">
        <f t="shared" si="325"/>
        <v>0</v>
      </c>
      <c r="AF1011" s="1">
        <f t="shared" si="326"/>
        <v>357</v>
      </c>
      <c r="AG1011" s="1">
        <f t="shared" si="327"/>
        <v>0</v>
      </c>
      <c r="AH1011" s="1">
        <f t="shared" si="328"/>
        <v>0</v>
      </c>
      <c r="AI1011" s="5">
        <f t="shared" si="329"/>
        <v>0.9780821917808219</v>
      </c>
      <c r="AJ1011" s="5">
        <f t="shared" si="330"/>
        <v>1.3548387096774195</v>
      </c>
      <c r="AK1011" s="5">
        <f t="shared" si="331"/>
        <v>70.451612903225808</v>
      </c>
      <c r="AL1011" s="5">
        <f t="shared" si="332"/>
        <v>176.12903225806451</v>
      </c>
      <c r="AM1011" s="5">
        <f t="shared" si="333"/>
        <v>0</v>
      </c>
      <c r="AN1011" s="5">
        <f t="shared" si="334"/>
        <v>176.12903225806451</v>
      </c>
      <c r="AO1011" s="1" t="s">
        <v>102</v>
      </c>
    </row>
    <row r="1012" spans="1:41" x14ac:dyDescent="0.25">
      <c r="A1012" s="1" t="s">
        <v>19</v>
      </c>
      <c r="B1012" s="1" t="s">
        <v>48</v>
      </c>
      <c r="C1012" s="1" t="s">
        <v>21</v>
      </c>
      <c r="D1012" s="1" t="s">
        <v>49</v>
      </c>
      <c r="E1012" s="1" t="s">
        <v>96</v>
      </c>
      <c r="F1012" s="1" t="s">
        <v>103</v>
      </c>
      <c r="G1012" s="1" t="s">
        <v>114</v>
      </c>
      <c r="H1012" s="1" t="s">
        <v>1154</v>
      </c>
      <c r="I1012" s="1" t="s">
        <v>100</v>
      </c>
      <c r="J1012" s="1" t="s">
        <v>101</v>
      </c>
      <c r="K1012" s="1" t="s">
        <v>116</v>
      </c>
      <c r="L1012" s="1">
        <v>2758431</v>
      </c>
      <c r="M1012" s="1" t="s">
        <v>1169</v>
      </c>
      <c r="N1012" s="8">
        <f>DATE(2021,2,3)</f>
        <v>44230</v>
      </c>
      <c r="O1012" s="8">
        <f>DATE(2023,12,23)</f>
        <v>45283</v>
      </c>
      <c r="P1012" s="1">
        <v>3504</v>
      </c>
      <c r="Q1012" s="1">
        <v>800</v>
      </c>
      <c r="R1012" s="1">
        <f t="shared" si="317"/>
        <v>3000</v>
      </c>
      <c r="S1012" s="1">
        <v>1.5</v>
      </c>
      <c r="U1012" s="1">
        <f t="shared" si="318"/>
        <v>1054</v>
      </c>
      <c r="V1012" s="7">
        <f t="shared" si="319"/>
        <v>2.8462998102466792</v>
      </c>
      <c r="W1012" s="7">
        <f t="shared" si="320"/>
        <v>1038.8994307400378</v>
      </c>
      <c r="X1012" s="7">
        <f t="shared" si="321"/>
        <v>1.2986242884250472</v>
      </c>
      <c r="AA1012" s="8">
        <f t="shared" si="322"/>
        <v>44927</v>
      </c>
      <c r="AB1012" s="8">
        <f t="shared" si="323"/>
        <v>45291</v>
      </c>
      <c r="AC1012" s="1">
        <v>63</v>
      </c>
      <c r="AD1012" s="1">
        <f t="shared" si="324"/>
        <v>0</v>
      </c>
      <c r="AE1012" s="1">
        <f t="shared" si="325"/>
        <v>0</v>
      </c>
      <c r="AF1012" s="1">
        <f t="shared" si="326"/>
        <v>357</v>
      </c>
      <c r="AG1012" s="1">
        <f t="shared" si="327"/>
        <v>0</v>
      </c>
      <c r="AH1012" s="1">
        <f t="shared" si="328"/>
        <v>0</v>
      </c>
      <c r="AI1012" s="5">
        <f t="shared" si="329"/>
        <v>0.9780821917808219</v>
      </c>
      <c r="AJ1012" s="5">
        <f t="shared" si="330"/>
        <v>1.2701612903225803</v>
      </c>
      <c r="AK1012" s="5">
        <f t="shared" si="331"/>
        <v>80.020161290322562</v>
      </c>
      <c r="AL1012" s="5">
        <f t="shared" si="332"/>
        <v>120.03024193548384</v>
      </c>
      <c r="AM1012" s="5">
        <f t="shared" si="333"/>
        <v>0</v>
      </c>
      <c r="AN1012" s="5">
        <f t="shared" si="334"/>
        <v>120.03024193548384</v>
      </c>
      <c r="AO1012" s="1" t="s">
        <v>102</v>
      </c>
    </row>
    <row r="1013" spans="1:41" x14ac:dyDescent="0.25">
      <c r="A1013" s="1" t="s">
        <v>19</v>
      </c>
      <c r="B1013" s="1" t="s">
        <v>48</v>
      </c>
      <c r="C1013" s="1" t="s">
        <v>21</v>
      </c>
      <c r="D1013" s="1" t="s">
        <v>49</v>
      </c>
      <c r="E1013" s="1" t="s">
        <v>96</v>
      </c>
      <c r="F1013" s="1" t="s">
        <v>103</v>
      </c>
      <c r="G1013" s="1" t="s">
        <v>114</v>
      </c>
      <c r="H1013" s="1" t="s">
        <v>1170</v>
      </c>
      <c r="I1013" s="1" t="s">
        <v>210</v>
      </c>
      <c r="J1013" s="1" t="s">
        <v>101</v>
      </c>
      <c r="K1013" s="1" t="s">
        <v>175</v>
      </c>
      <c r="L1013" s="1">
        <v>2771335</v>
      </c>
      <c r="M1013" s="1" t="s">
        <v>1171</v>
      </c>
      <c r="N1013" s="8">
        <f>DATE(2021,3,1)</f>
        <v>44256</v>
      </c>
      <c r="O1013" s="8">
        <f>DATE(2022,12,23)</f>
        <v>44918</v>
      </c>
      <c r="P1013" s="1">
        <v>1200</v>
      </c>
      <c r="Q1013" s="1">
        <v>1200</v>
      </c>
      <c r="R1013" s="1">
        <f t="shared" si="317"/>
        <v>1200</v>
      </c>
      <c r="S1013" s="1">
        <v>2.5</v>
      </c>
      <c r="U1013" s="1">
        <f t="shared" si="318"/>
        <v>663</v>
      </c>
      <c r="V1013" s="7">
        <f t="shared" si="319"/>
        <v>1.8099547511312217</v>
      </c>
      <c r="W1013" s="7">
        <f t="shared" si="320"/>
        <v>660.63348416289591</v>
      </c>
      <c r="X1013" s="7">
        <f t="shared" si="321"/>
        <v>0.82579185520361986</v>
      </c>
      <c r="AA1013" s="8">
        <f t="shared" si="322"/>
        <v>44927</v>
      </c>
      <c r="AB1013" s="8">
        <f t="shared" si="323"/>
        <v>45291</v>
      </c>
      <c r="AC1013" s="1">
        <v>28</v>
      </c>
      <c r="AD1013" s="1">
        <f t="shared" si="324"/>
        <v>0</v>
      </c>
      <c r="AE1013" s="1">
        <f t="shared" si="325"/>
        <v>0</v>
      </c>
      <c r="AF1013" s="1">
        <f t="shared" si="326"/>
        <v>0</v>
      </c>
      <c r="AG1013" s="1">
        <f t="shared" si="327"/>
        <v>0</v>
      </c>
      <c r="AH1013" s="1">
        <f t="shared" si="328"/>
        <v>182.5</v>
      </c>
      <c r="AI1013" s="5">
        <f t="shared" si="329"/>
        <v>0.5</v>
      </c>
      <c r="AJ1013" s="5">
        <f t="shared" si="330"/>
        <v>0.41289592760180993</v>
      </c>
      <c r="AK1013" s="5">
        <f t="shared" si="331"/>
        <v>5.7805429864253393</v>
      </c>
      <c r="AL1013" s="5">
        <f t="shared" si="332"/>
        <v>14.451357466063348</v>
      </c>
      <c r="AM1013" s="5">
        <f t="shared" si="333"/>
        <v>0</v>
      </c>
      <c r="AN1013" s="5">
        <f t="shared" si="334"/>
        <v>14.451357466063348</v>
      </c>
      <c r="AO1013" s="1" t="s">
        <v>102</v>
      </c>
    </row>
    <row r="1014" spans="1:41" x14ac:dyDescent="0.25">
      <c r="A1014" s="1" t="s">
        <v>19</v>
      </c>
      <c r="B1014" s="1" t="s">
        <v>48</v>
      </c>
      <c r="C1014" s="1" t="s">
        <v>21</v>
      </c>
      <c r="D1014" s="1" t="s">
        <v>49</v>
      </c>
      <c r="E1014" s="1" t="s">
        <v>96</v>
      </c>
      <c r="F1014" s="1" t="s">
        <v>103</v>
      </c>
      <c r="G1014" s="1" t="s">
        <v>114</v>
      </c>
      <c r="H1014" s="1" t="s">
        <v>247</v>
      </c>
      <c r="I1014" s="1" t="s">
        <v>162</v>
      </c>
      <c r="J1014" s="1" t="s">
        <v>101</v>
      </c>
      <c r="K1014" s="1" t="s">
        <v>116</v>
      </c>
      <c r="L1014" s="1">
        <v>2758433</v>
      </c>
      <c r="M1014" s="1" t="s">
        <v>1172</v>
      </c>
      <c r="N1014" s="8">
        <f>DATE(2021,3,3)</f>
        <v>44258</v>
      </c>
      <c r="O1014" s="8">
        <f>DATE(2023,12,23)</f>
        <v>45283</v>
      </c>
      <c r="P1014" s="1">
        <v>3672</v>
      </c>
      <c r="Q1014" s="1">
        <v>1200</v>
      </c>
      <c r="R1014" s="1">
        <f t="shared" si="317"/>
        <v>3200</v>
      </c>
      <c r="S1014" s="1">
        <v>1.5</v>
      </c>
      <c r="U1014" s="1">
        <f t="shared" si="318"/>
        <v>1026</v>
      </c>
      <c r="V1014" s="7">
        <f t="shared" si="319"/>
        <v>3.1189083820662766</v>
      </c>
      <c r="W1014" s="7">
        <f t="shared" si="320"/>
        <v>1138.4015594541909</v>
      </c>
      <c r="X1014" s="7">
        <f t="shared" si="321"/>
        <v>1.4230019493177386</v>
      </c>
      <c r="AA1014" s="8">
        <f t="shared" si="322"/>
        <v>44927</v>
      </c>
      <c r="AB1014" s="8">
        <f t="shared" si="323"/>
        <v>45291</v>
      </c>
      <c r="AC1014" s="1">
        <v>31</v>
      </c>
      <c r="AD1014" s="1">
        <f t="shared" si="324"/>
        <v>0</v>
      </c>
      <c r="AE1014" s="1">
        <f t="shared" si="325"/>
        <v>0</v>
      </c>
      <c r="AF1014" s="1">
        <f t="shared" si="326"/>
        <v>357</v>
      </c>
      <c r="AG1014" s="1">
        <f t="shared" si="327"/>
        <v>0</v>
      </c>
      <c r="AH1014" s="1">
        <f t="shared" si="328"/>
        <v>0</v>
      </c>
      <c r="AI1014" s="5">
        <f t="shared" si="329"/>
        <v>0.9780821917808219</v>
      </c>
      <c r="AJ1014" s="5">
        <f t="shared" si="330"/>
        <v>1.3918128654970758</v>
      </c>
      <c r="AK1014" s="5">
        <f t="shared" si="331"/>
        <v>43.146198830409354</v>
      </c>
      <c r="AL1014" s="5">
        <f t="shared" si="332"/>
        <v>64.719298245614027</v>
      </c>
      <c r="AM1014" s="5">
        <f t="shared" si="333"/>
        <v>0</v>
      </c>
      <c r="AN1014" s="5">
        <f t="shared" si="334"/>
        <v>64.719298245614027</v>
      </c>
      <c r="AO1014" s="1" t="s">
        <v>102</v>
      </c>
    </row>
    <row r="1015" spans="1:41" x14ac:dyDescent="0.25">
      <c r="A1015" s="1" t="s">
        <v>19</v>
      </c>
      <c r="B1015" s="1" t="s">
        <v>48</v>
      </c>
      <c r="C1015" s="1" t="s">
        <v>21</v>
      </c>
      <c r="D1015" s="1" t="s">
        <v>49</v>
      </c>
      <c r="E1015" s="1" t="s">
        <v>96</v>
      </c>
      <c r="F1015" s="1" t="s">
        <v>103</v>
      </c>
      <c r="G1015" s="1" t="s">
        <v>98</v>
      </c>
      <c r="H1015" s="1" t="s">
        <v>542</v>
      </c>
      <c r="I1015" s="1" t="s">
        <v>210</v>
      </c>
      <c r="J1015" s="1" t="s">
        <v>101</v>
      </c>
      <c r="L1015" s="1">
        <v>2758440</v>
      </c>
      <c r="M1015" s="1" t="s">
        <v>1173</v>
      </c>
      <c r="N1015" s="8">
        <f>DATE(2021,3,3)</f>
        <v>44258</v>
      </c>
      <c r="O1015" s="8">
        <f>DATE(2025,3,22)</f>
        <v>45738</v>
      </c>
      <c r="P1015" s="1">
        <v>3600</v>
      </c>
      <c r="Q1015" s="1">
        <v>3600</v>
      </c>
      <c r="R1015" s="1">
        <f t="shared" si="317"/>
        <v>3600</v>
      </c>
      <c r="S1015" s="1">
        <v>2.5</v>
      </c>
      <c r="U1015" s="1">
        <f t="shared" si="318"/>
        <v>1481</v>
      </c>
      <c r="V1015" s="7">
        <f t="shared" si="319"/>
        <v>2.4307900067521944</v>
      </c>
      <c r="W1015" s="7">
        <f t="shared" si="320"/>
        <v>887.23835246455099</v>
      </c>
      <c r="X1015" s="7">
        <f t="shared" si="321"/>
        <v>1.1090479405806888</v>
      </c>
      <c r="AA1015" s="8">
        <f t="shared" si="322"/>
        <v>44927</v>
      </c>
      <c r="AB1015" s="8">
        <f t="shared" si="323"/>
        <v>45291</v>
      </c>
      <c r="AC1015" s="1">
        <v>10</v>
      </c>
      <c r="AD1015" s="1">
        <f t="shared" si="324"/>
        <v>365</v>
      </c>
      <c r="AE1015" s="1">
        <f t="shared" si="325"/>
        <v>0</v>
      </c>
      <c r="AF1015" s="1">
        <f t="shared" si="326"/>
        <v>0</v>
      </c>
      <c r="AG1015" s="1">
        <f t="shared" si="327"/>
        <v>0</v>
      </c>
      <c r="AH1015" s="1">
        <f t="shared" si="328"/>
        <v>0</v>
      </c>
      <c r="AI1015" s="5">
        <f t="shared" si="329"/>
        <v>1</v>
      </c>
      <c r="AJ1015" s="5">
        <f t="shared" si="330"/>
        <v>1.1090479405806888</v>
      </c>
      <c r="AK1015" s="5">
        <f t="shared" si="331"/>
        <v>11.090479405806889</v>
      </c>
      <c r="AL1015" s="5">
        <f t="shared" si="332"/>
        <v>27.726198514517222</v>
      </c>
      <c r="AM1015" s="5">
        <f t="shared" si="333"/>
        <v>0</v>
      </c>
      <c r="AN1015" s="5">
        <f t="shared" si="334"/>
        <v>27.726198514517222</v>
      </c>
      <c r="AO1015" s="1" t="s">
        <v>102</v>
      </c>
    </row>
    <row r="1016" spans="1:41" x14ac:dyDescent="0.25">
      <c r="A1016" s="1" t="s">
        <v>19</v>
      </c>
      <c r="B1016" s="1" t="s">
        <v>48</v>
      </c>
      <c r="C1016" s="1" t="s">
        <v>21</v>
      </c>
      <c r="D1016" s="1" t="s">
        <v>49</v>
      </c>
      <c r="E1016" s="1" t="s">
        <v>96</v>
      </c>
      <c r="F1016" s="1" t="s">
        <v>103</v>
      </c>
      <c r="G1016" s="1" t="s">
        <v>320</v>
      </c>
      <c r="H1016" s="1" t="s">
        <v>321</v>
      </c>
      <c r="I1016" s="1" t="s">
        <v>174</v>
      </c>
      <c r="J1016" s="1" t="s">
        <v>101</v>
      </c>
      <c r="L1016" s="1">
        <v>2758444</v>
      </c>
      <c r="M1016" s="1" t="s">
        <v>1174</v>
      </c>
      <c r="N1016" s="8">
        <f>DATE(2021,3,3)</f>
        <v>44258</v>
      </c>
      <c r="O1016" s="8">
        <f>DATE(2024,3,23)</f>
        <v>45374</v>
      </c>
      <c r="P1016" s="1">
        <v>2800</v>
      </c>
      <c r="Q1016" s="1">
        <v>3200</v>
      </c>
      <c r="R1016" s="1">
        <f t="shared" si="317"/>
        <v>3200</v>
      </c>
      <c r="S1016" s="1">
        <v>2.5</v>
      </c>
      <c r="U1016" s="1">
        <f t="shared" si="318"/>
        <v>1117</v>
      </c>
      <c r="V1016" s="7">
        <f t="shared" si="319"/>
        <v>2.5067144136078783</v>
      </c>
      <c r="W1016" s="7">
        <f t="shared" si="320"/>
        <v>914.95076096687558</v>
      </c>
      <c r="X1016" s="7">
        <f t="shared" si="321"/>
        <v>1.1436884512085945</v>
      </c>
      <c r="AA1016" s="8">
        <f t="shared" si="322"/>
        <v>44927</v>
      </c>
      <c r="AB1016" s="8">
        <f t="shared" si="323"/>
        <v>45291</v>
      </c>
      <c r="AC1016" s="1">
        <v>27</v>
      </c>
      <c r="AD1016" s="1">
        <f t="shared" si="324"/>
        <v>365</v>
      </c>
      <c r="AE1016" s="1">
        <f t="shared" si="325"/>
        <v>0</v>
      </c>
      <c r="AF1016" s="1">
        <f t="shared" si="326"/>
        <v>0</v>
      </c>
      <c r="AG1016" s="1">
        <f t="shared" si="327"/>
        <v>0</v>
      </c>
      <c r="AH1016" s="1">
        <f t="shared" si="328"/>
        <v>0</v>
      </c>
      <c r="AI1016" s="5">
        <f t="shared" si="329"/>
        <v>1</v>
      </c>
      <c r="AJ1016" s="5">
        <f t="shared" si="330"/>
        <v>1.1436884512085945</v>
      </c>
      <c r="AK1016" s="5">
        <f t="shared" si="331"/>
        <v>30.879588182632052</v>
      </c>
      <c r="AL1016" s="5">
        <f t="shared" si="332"/>
        <v>77.198970456580128</v>
      </c>
      <c r="AM1016" s="5">
        <f t="shared" si="333"/>
        <v>0</v>
      </c>
      <c r="AN1016" s="5">
        <f t="shared" si="334"/>
        <v>77.198970456580128</v>
      </c>
      <c r="AO1016" s="1" t="s">
        <v>102</v>
      </c>
    </row>
    <row r="1017" spans="1:41" x14ac:dyDescent="0.25">
      <c r="A1017" s="1" t="s">
        <v>19</v>
      </c>
      <c r="B1017" s="1" t="s">
        <v>48</v>
      </c>
      <c r="C1017" s="1" t="s">
        <v>21</v>
      </c>
      <c r="D1017" s="1" t="s">
        <v>49</v>
      </c>
      <c r="E1017" s="1" t="s">
        <v>96</v>
      </c>
      <c r="F1017" s="1" t="s">
        <v>103</v>
      </c>
      <c r="G1017" s="1" t="s">
        <v>127</v>
      </c>
      <c r="H1017" s="1" t="s">
        <v>1143</v>
      </c>
      <c r="I1017" s="1" t="s">
        <v>162</v>
      </c>
      <c r="J1017" s="1" t="s">
        <v>101</v>
      </c>
      <c r="L1017" s="1">
        <v>2758981</v>
      </c>
      <c r="M1017" s="1" t="s">
        <v>1175</v>
      </c>
      <c r="N1017" s="8">
        <f>DATE(2021,3,3)</f>
        <v>44258</v>
      </c>
      <c r="O1017" s="8">
        <f>DATE(2023,3,25)</f>
        <v>45010</v>
      </c>
      <c r="P1017" s="1">
        <v>2000</v>
      </c>
      <c r="Q1017" s="1">
        <v>2000</v>
      </c>
      <c r="R1017" s="1">
        <f t="shared" ref="R1017:R1080" si="340">IF(OR(G1017="QUALIFICACAO PROFISSIONAL (FIC)",G1017="DOUTORADO"),P1017,
    IF(ISNUMBER(FIND("PROEJA",K1017)),2400,
        IF(K1017="INTEGRADO",
            IF(Q1017=800,3000,
                IF(Q1017=1000,3100,
                    IF(Q1017=1200,3200,Q1017)
                )
            ),
            Q1017
        )
    )
)</f>
        <v>2000</v>
      </c>
      <c r="S1017" s="1">
        <v>1.5</v>
      </c>
      <c r="U1017" s="1">
        <f t="shared" ref="U1017:U1080" si="341">O1017-N1017+1</f>
        <v>753</v>
      </c>
      <c r="V1017" s="7">
        <f t="shared" ref="V1017:V1080" si="342">IF(R1017&gt;P1017,P1017,R1017)/U1017</f>
        <v>2.6560424966799467</v>
      </c>
      <c r="W1017" s="7">
        <f t="shared" ref="W1017:W1080" si="343">IF(U1017&gt;365,V1017*365,R1017)</f>
        <v>969.45551128818056</v>
      </c>
      <c r="X1017" s="7">
        <f t="shared" ref="X1017:X1080" si="344">IF(U1017&gt;365,W1017/800,R1017/800)</f>
        <v>1.2118193891102258</v>
      </c>
      <c r="AA1017" s="8">
        <f t="shared" ref="AA1017:AA1080" si="345">DATE(2023,1,1)</f>
        <v>44927</v>
      </c>
      <c r="AB1017" s="8">
        <f t="shared" ref="AB1017:AB1080" si="346">DATE(2023,12,31)</f>
        <v>45291</v>
      </c>
      <c r="AC1017" s="1">
        <v>34</v>
      </c>
      <c r="AD1017" s="1">
        <f t="shared" ref="AD1017:AD1080" si="347">IF(AND(N1017&lt;AA1017,O1017&gt;AB1017),AB1017-AA1017+1,0)</f>
        <v>0</v>
      </c>
      <c r="AE1017" s="1">
        <f t="shared" ref="AE1017:AE1080" si="348">IF(AND(N1017&gt;=AA1017,O1017&gt;AB1017,N1017&lt;AB1017),AB1017-N1017+1,0)</f>
        <v>0</v>
      </c>
      <c r="AF1017" s="1">
        <f t="shared" ref="AF1017:AF1080" si="349">IF(AND(N1017&lt;AA1017,O1017&lt;=AB1017,O1017&gt;=AA1017),O1017-AA1017+1,0)</f>
        <v>84</v>
      </c>
      <c r="AG1017" s="1">
        <f t="shared" ref="AG1017:AG1080" si="350">IF(AND(N1017&gt;=AA1017,O1017&lt;=AB1017),O1017-N1017+1,0)</f>
        <v>0</v>
      </c>
      <c r="AH1017" s="1">
        <f t="shared" ref="AH1017:AH1080" si="351">IF(AND(N1017&lt;AA1017,O1017&lt;AA1017),(AB1017-AA1017+1)/2,0)</f>
        <v>0</v>
      </c>
      <c r="AI1017" s="5">
        <f t="shared" ref="AI1017:AI1080" si="352">SUM(AD1017:AH1017)/IF(U1017&gt;=365,AB1017-AA1017+1,U1017)</f>
        <v>0.23013698630136986</v>
      </c>
      <c r="AJ1017" s="5">
        <f t="shared" ref="AJ1017:AJ1080" si="353">X1017*AI1017</f>
        <v>0.27888446215139445</v>
      </c>
      <c r="AK1017" s="5">
        <f t="shared" ref="AK1017:AK1080" si="354">IF(AH1017=0,AJ1017*AC1017,IF(AA1017-O1017&gt;1095,0,AJ1017*(AC1017/2)))</f>
        <v>9.4820717131474108</v>
      </c>
      <c r="AL1017" s="5">
        <f t="shared" ref="AL1017:AL1080" si="355">AK1017*S1017</f>
        <v>14.223107569721115</v>
      </c>
      <c r="AM1017" s="5">
        <f t="shared" ref="AM1017:AM1080" si="356">IF(J1017="SIM",AL1017*50%,0)</f>
        <v>0</v>
      </c>
      <c r="AN1017" s="5">
        <f t="shared" ref="AN1017:AN1080" si="357">AL1017+AM1017</f>
        <v>14.223107569721115</v>
      </c>
      <c r="AO1017" s="1" t="s">
        <v>102</v>
      </c>
    </row>
    <row r="1018" spans="1:41" x14ac:dyDescent="0.25">
      <c r="A1018" s="1" t="s">
        <v>19</v>
      </c>
      <c r="B1018" s="1" t="s">
        <v>48</v>
      </c>
      <c r="C1018" s="1" t="s">
        <v>21</v>
      </c>
      <c r="D1018" s="1" t="s">
        <v>49</v>
      </c>
      <c r="E1018" s="1" t="s">
        <v>96</v>
      </c>
      <c r="F1018" s="1" t="s">
        <v>103</v>
      </c>
      <c r="G1018" s="1" t="s">
        <v>114</v>
      </c>
      <c r="H1018" s="1" t="s">
        <v>247</v>
      </c>
      <c r="I1018" s="1" t="s">
        <v>162</v>
      </c>
      <c r="J1018" s="1" t="s">
        <v>101</v>
      </c>
      <c r="K1018" s="1" t="s">
        <v>116</v>
      </c>
      <c r="L1018" s="1">
        <v>2854365</v>
      </c>
      <c r="M1018" s="1" t="s">
        <v>1176</v>
      </c>
      <c r="N1018" s="8">
        <f t="shared" ref="N1018:N1026" si="358">DATE(2022,2,1)</f>
        <v>44593</v>
      </c>
      <c r="O1018" s="8">
        <f>DATE(2024,12,23)</f>
        <v>45649</v>
      </c>
      <c r="P1018" s="1">
        <v>3672</v>
      </c>
      <c r="Q1018" s="1">
        <v>1200</v>
      </c>
      <c r="R1018" s="1">
        <f t="shared" si="340"/>
        <v>3200</v>
      </c>
      <c r="S1018" s="1">
        <v>1.5</v>
      </c>
      <c r="U1018" s="1">
        <f t="shared" si="341"/>
        <v>1057</v>
      </c>
      <c r="V1018" s="7">
        <f t="shared" si="342"/>
        <v>3.0274361400189216</v>
      </c>
      <c r="W1018" s="7">
        <f t="shared" si="343"/>
        <v>1105.0141911069063</v>
      </c>
      <c r="X1018" s="7">
        <f t="shared" si="344"/>
        <v>1.381267738883633</v>
      </c>
      <c r="AA1018" s="8">
        <f t="shared" si="345"/>
        <v>44927</v>
      </c>
      <c r="AB1018" s="8">
        <f t="shared" si="346"/>
        <v>45291</v>
      </c>
      <c r="AC1018" s="1">
        <v>33</v>
      </c>
      <c r="AD1018" s="1">
        <f t="shared" si="347"/>
        <v>365</v>
      </c>
      <c r="AE1018" s="1">
        <f t="shared" si="348"/>
        <v>0</v>
      </c>
      <c r="AF1018" s="1">
        <f t="shared" si="349"/>
        <v>0</v>
      </c>
      <c r="AG1018" s="1">
        <f t="shared" si="350"/>
        <v>0</v>
      </c>
      <c r="AH1018" s="1">
        <f t="shared" si="351"/>
        <v>0</v>
      </c>
      <c r="AI1018" s="5">
        <f t="shared" si="352"/>
        <v>1</v>
      </c>
      <c r="AJ1018" s="5">
        <f t="shared" si="353"/>
        <v>1.381267738883633</v>
      </c>
      <c r="AK1018" s="5">
        <f t="shared" si="354"/>
        <v>45.581835383159891</v>
      </c>
      <c r="AL1018" s="5">
        <f t="shared" si="355"/>
        <v>68.372753074739833</v>
      </c>
      <c r="AM1018" s="5">
        <f t="shared" si="356"/>
        <v>0</v>
      </c>
      <c r="AN1018" s="5">
        <f t="shared" si="357"/>
        <v>68.372753074739833</v>
      </c>
      <c r="AO1018" s="1" t="s">
        <v>102</v>
      </c>
    </row>
    <row r="1019" spans="1:41" x14ac:dyDescent="0.25">
      <c r="A1019" s="1" t="s">
        <v>19</v>
      </c>
      <c r="B1019" s="1" t="s">
        <v>48</v>
      </c>
      <c r="C1019" s="1" t="s">
        <v>21</v>
      </c>
      <c r="D1019" s="1" t="s">
        <v>49</v>
      </c>
      <c r="E1019" s="1" t="s">
        <v>96</v>
      </c>
      <c r="F1019" s="1" t="s">
        <v>103</v>
      </c>
      <c r="G1019" s="1" t="s">
        <v>114</v>
      </c>
      <c r="H1019" s="1" t="s">
        <v>592</v>
      </c>
      <c r="I1019" s="1" t="s">
        <v>210</v>
      </c>
      <c r="J1019" s="1" t="s">
        <v>101</v>
      </c>
      <c r="K1019" s="1" t="s">
        <v>116</v>
      </c>
      <c r="L1019" s="1">
        <v>2855413</v>
      </c>
      <c r="M1019" s="1" t="s">
        <v>1177</v>
      </c>
      <c r="N1019" s="8">
        <f t="shared" si="358"/>
        <v>44593</v>
      </c>
      <c r="O1019" s="8">
        <f>DATE(2024,12,23)</f>
        <v>45649</v>
      </c>
      <c r="P1019" s="1">
        <v>3672</v>
      </c>
      <c r="Q1019" s="1">
        <v>1200</v>
      </c>
      <c r="R1019" s="1">
        <f t="shared" si="340"/>
        <v>3200</v>
      </c>
      <c r="S1019" s="1">
        <v>2.5</v>
      </c>
      <c r="U1019" s="1">
        <f t="shared" si="341"/>
        <v>1057</v>
      </c>
      <c r="V1019" s="7">
        <f t="shared" si="342"/>
        <v>3.0274361400189216</v>
      </c>
      <c r="W1019" s="7">
        <f t="shared" si="343"/>
        <v>1105.0141911069063</v>
      </c>
      <c r="X1019" s="7">
        <f t="shared" si="344"/>
        <v>1.381267738883633</v>
      </c>
      <c r="AA1019" s="8">
        <f t="shared" si="345"/>
        <v>44927</v>
      </c>
      <c r="AB1019" s="8">
        <f t="shared" si="346"/>
        <v>45291</v>
      </c>
      <c r="AC1019" s="1">
        <v>66</v>
      </c>
      <c r="AD1019" s="1">
        <f t="shared" si="347"/>
        <v>365</v>
      </c>
      <c r="AE1019" s="1">
        <f t="shared" si="348"/>
        <v>0</v>
      </c>
      <c r="AF1019" s="1">
        <f t="shared" si="349"/>
        <v>0</v>
      </c>
      <c r="AG1019" s="1">
        <f t="shared" si="350"/>
        <v>0</v>
      </c>
      <c r="AH1019" s="1">
        <f t="shared" si="351"/>
        <v>0</v>
      </c>
      <c r="AI1019" s="5">
        <f t="shared" si="352"/>
        <v>1</v>
      </c>
      <c r="AJ1019" s="5">
        <f t="shared" si="353"/>
        <v>1.381267738883633</v>
      </c>
      <c r="AK1019" s="5">
        <f t="shared" si="354"/>
        <v>91.163670766319783</v>
      </c>
      <c r="AL1019" s="5">
        <f t="shared" si="355"/>
        <v>227.90917691579946</v>
      </c>
      <c r="AM1019" s="5">
        <f t="shared" si="356"/>
        <v>0</v>
      </c>
      <c r="AN1019" s="5">
        <f t="shared" si="357"/>
        <v>227.90917691579946</v>
      </c>
      <c r="AO1019" s="1" t="s">
        <v>102</v>
      </c>
    </row>
    <row r="1020" spans="1:41" x14ac:dyDescent="0.25">
      <c r="A1020" s="1" t="s">
        <v>19</v>
      </c>
      <c r="B1020" s="1" t="s">
        <v>48</v>
      </c>
      <c r="C1020" s="1" t="s">
        <v>21</v>
      </c>
      <c r="D1020" s="1" t="s">
        <v>49</v>
      </c>
      <c r="E1020" s="1" t="s">
        <v>96</v>
      </c>
      <c r="F1020" s="1" t="s">
        <v>103</v>
      </c>
      <c r="G1020" s="1" t="s">
        <v>114</v>
      </c>
      <c r="H1020" s="1" t="s">
        <v>212</v>
      </c>
      <c r="I1020" s="1" t="s">
        <v>210</v>
      </c>
      <c r="J1020" s="1" t="s">
        <v>101</v>
      </c>
      <c r="K1020" s="1" t="s">
        <v>116</v>
      </c>
      <c r="L1020" s="1">
        <v>2855429</v>
      </c>
      <c r="M1020" s="1" t="s">
        <v>1178</v>
      </c>
      <c r="N1020" s="8">
        <f t="shared" si="358"/>
        <v>44593</v>
      </c>
      <c r="O1020" s="8">
        <f>DATE(2024,12,23)</f>
        <v>45649</v>
      </c>
      <c r="P1020" s="1">
        <v>3706</v>
      </c>
      <c r="Q1020" s="1">
        <v>1200</v>
      </c>
      <c r="R1020" s="1">
        <f t="shared" si="340"/>
        <v>3200</v>
      </c>
      <c r="S1020" s="1">
        <v>2.5</v>
      </c>
      <c r="U1020" s="1">
        <f t="shared" si="341"/>
        <v>1057</v>
      </c>
      <c r="V1020" s="7">
        <f t="shared" si="342"/>
        <v>3.0274361400189216</v>
      </c>
      <c r="W1020" s="7">
        <f t="shared" si="343"/>
        <v>1105.0141911069063</v>
      </c>
      <c r="X1020" s="7">
        <f t="shared" si="344"/>
        <v>1.381267738883633</v>
      </c>
      <c r="AA1020" s="8">
        <f t="shared" si="345"/>
        <v>44927</v>
      </c>
      <c r="AB1020" s="8">
        <f t="shared" si="346"/>
        <v>45291</v>
      </c>
      <c r="AC1020" s="1">
        <v>61</v>
      </c>
      <c r="AD1020" s="1">
        <f t="shared" si="347"/>
        <v>365</v>
      </c>
      <c r="AE1020" s="1">
        <f t="shared" si="348"/>
        <v>0</v>
      </c>
      <c r="AF1020" s="1">
        <f t="shared" si="349"/>
        <v>0</v>
      </c>
      <c r="AG1020" s="1">
        <f t="shared" si="350"/>
        <v>0</v>
      </c>
      <c r="AH1020" s="1">
        <f t="shared" si="351"/>
        <v>0</v>
      </c>
      <c r="AI1020" s="5">
        <f t="shared" si="352"/>
        <v>1</v>
      </c>
      <c r="AJ1020" s="5">
        <f t="shared" si="353"/>
        <v>1.381267738883633</v>
      </c>
      <c r="AK1020" s="5">
        <f t="shared" si="354"/>
        <v>84.257332071901615</v>
      </c>
      <c r="AL1020" s="5">
        <f t="shared" si="355"/>
        <v>210.64333017975403</v>
      </c>
      <c r="AM1020" s="5">
        <f t="shared" si="356"/>
        <v>0</v>
      </c>
      <c r="AN1020" s="5">
        <f t="shared" si="357"/>
        <v>210.64333017975403</v>
      </c>
      <c r="AO1020" s="1" t="s">
        <v>102</v>
      </c>
    </row>
    <row r="1021" spans="1:41" x14ac:dyDescent="0.25">
      <c r="A1021" s="1" t="s">
        <v>19</v>
      </c>
      <c r="B1021" s="1" t="s">
        <v>48</v>
      </c>
      <c r="C1021" s="1" t="s">
        <v>21</v>
      </c>
      <c r="D1021" s="1" t="s">
        <v>49</v>
      </c>
      <c r="E1021" s="1" t="s">
        <v>96</v>
      </c>
      <c r="F1021" s="1" t="s">
        <v>103</v>
      </c>
      <c r="G1021" s="1" t="s">
        <v>114</v>
      </c>
      <c r="H1021" s="1" t="s">
        <v>1154</v>
      </c>
      <c r="I1021" s="1" t="s">
        <v>100</v>
      </c>
      <c r="J1021" s="1" t="s">
        <v>101</v>
      </c>
      <c r="K1021" s="1" t="s">
        <v>116</v>
      </c>
      <c r="L1021" s="1">
        <v>2855450</v>
      </c>
      <c r="M1021" s="1" t="s">
        <v>1179</v>
      </c>
      <c r="N1021" s="8">
        <f t="shared" si="358"/>
        <v>44593</v>
      </c>
      <c r="O1021" s="8">
        <f>DATE(2024,12,23)</f>
        <v>45649</v>
      </c>
      <c r="P1021" s="1">
        <v>3504</v>
      </c>
      <c r="Q1021" s="1">
        <v>800</v>
      </c>
      <c r="R1021" s="1">
        <f t="shared" si="340"/>
        <v>3000</v>
      </c>
      <c r="S1021" s="1">
        <v>1.5</v>
      </c>
      <c r="U1021" s="1">
        <f t="shared" si="341"/>
        <v>1057</v>
      </c>
      <c r="V1021" s="7">
        <f t="shared" si="342"/>
        <v>2.838221381267739</v>
      </c>
      <c r="W1021" s="7">
        <f t="shared" si="343"/>
        <v>1035.9508041627248</v>
      </c>
      <c r="X1021" s="7">
        <f t="shared" si="344"/>
        <v>1.2949385052034059</v>
      </c>
      <c r="AA1021" s="8">
        <f t="shared" si="345"/>
        <v>44927</v>
      </c>
      <c r="AB1021" s="8">
        <f t="shared" si="346"/>
        <v>45291</v>
      </c>
      <c r="AC1021" s="1">
        <v>64</v>
      </c>
      <c r="AD1021" s="1">
        <f t="shared" si="347"/>
        <v>365</v>
      </c>
      <c r="AE1021" s="1">
        <f t="shared" si="348"/>
        <v>0</v>
      </c>
      <c r="AF1021" s="1">
        <f t="shared" si="349"/>
        <v>0</v>
      </c>
      <c r="AG1021" s="1">
        <f t="shared" si="350"/>
        <v>0</v>
      </c>
      <c r="AH1021" s="1">
        <f t="shared" si="351"/>
        <v>0</v>
      </c>
      <c r="AI1021" s="5">
        <f t="shared" si="352"/>
        <v>1</v>
      </c>
      <c r="AJ1021" s="5">
        <f t="shared" si="353"/>
        <v>1.2949385052034059</v>
      </c>
      <c r="AK1021" s="5">
        <f t="shared" si="354"/>
        <v>82.876064333017979</v>
      </c>
      <c r="AL1021" s="5">
        <f t="shared" si="355"/>
        <v>124.31409649952697</v>
      </c>
      <c r="AM1021" s="5">
        <f t="shared" si="356"/>
        <v>0</v>
      </c>
      <c r="AN1021" s="5">
        <f t="shared" si="357"/>
        <v>124.31409649952697</v>
      </c>
      <c r="AO1021" s="1" t="s">
        <v>102</v>
      </c>
    </row>
    <row r="1022" spans="1:41" x14ac:dyDescent="0.25">
      <c r="A1022" s="1" t="s">
        <v>19</v>
      </c>
      <c r="B1022" s="1" t="s">
        <v>48</v>
      </c>
      <c r="C1022" s="1" t="s">
        <v>21</v>
      </c>
      <c r="D1022" s="1" t="s">
        <v>49</v>
      </c>
      <c r="E1022" s="1" t="s">
        <v>96</v>
      </c>
      <c r="F1022" s="1" t="s">
        <v>103</v>
      </c>
      <c r="G1022" s="1" t="s">
        <v>114</v>
      </c>
      <c r="H1022" s="1" t="s">
        <v>1170</v>
      </c>
      <c r="I1022" s="1" t="s">
        <v>210</v>
      </c>
      <c r="J1022" s="1" t="s">
        <v>101</v>
      </c>
      <c r="K1022" s="1" t="s">
        <v>175</v>
      </c>
      <c r="L1022" s="1">
        <v>2855458</v>
      </c>
      <c r="M1022" s="1" t="s">
        <v>1180</v>
      </c>
      <c r="N1022" s="8">
        <f t="shared" si="358"/>
        <v>44593</v>
      </c>
      <c r="O1022" s="8">
        <f>DATE(2023,12,23)</f>
        <v>45283</v>
      </c>
      <c r="P1022" s="1">
        <v>1200</v>
      </c>
      <c r="Q1022" s="1">
        <v>1200</v>
      </c>
      <c r="R1022" s="1">
        <f t="shared" si="340"/>
        <v>1200</v>
      </c>
      <c r="S1022" s="1">
        <v>2.5</v>
      </c>
      <c r="U1022" s="1">
        <f t="shared" si="341"/>
        <v>691</v>
      </c>
      <c r="V1022" s="7">
        <f t="shared" si="342"/>
        <v>1.7366136034732271</v>
      </c>
      <c r="W1022" s="7">
        <f t="shared" si="343"/>
        <v>633.86396526772785</v>
      </c>
      <c r="X1022" s="7">
        <f t="shared" si="344"/>
        <v>0.79232995658465977</v>
      </c>
      <c r="AA1022" s="8">
        <f t="shared" si="345"/>
        <v>44927</v>
      </c>
      <c r="AB1022" s="8">
        <f t="shared" si="346"/>
        <v>45291</v>
      </c>
      <c r="AC1022" s="1">
        <v>35</v>
      </c>
      <c r="AD1022" s="1">
        <f t="shared" si="347"/>
        <v>0</v>
      </c>
      <c r="AE1022" s="1">
        <f t="shared" si="348"/>
        <v>0</v>
      </c>
      <c r="AF1022" s="1">
        <f t="shared" si="349"/>
        <v>357</v>
      </c>
      <c r="AG1022" s="1">
        <f t="shared" si="350"/>
        <v>0</v>
      </c>
      <c r="AH1022" s="1">
        <f t="shared" si="351"/>
        <v>0</v>
      </c>
      <c r="AI1022" s="5">
        <f t="shared" si="352"/>
        <v>0.9780821917808219</v>
      </c>
      <c r="AJ1022" s="5">
        <f t="shared" si="353"/>
        <v>0.77496382054992752</v>
      </c>
      <c r="AK1022" s="5">
        <f t="shared" si="354"/>
        <v>27.123733719247465</v>
      </c>
      <c r="AL1022" s="5">
        <f t="shared" si="355"/>
        <v>67.809334298118657</v>
      </c>
      <c r="AM1022" s="5">
        <f t="shared" si="356"/>
        <v>0</v>
      </c>
      <c r="AN1022" s="5">
        <f t="shared" si="357"/>
        <v>67.809334298118657</v>
      </c>
      <c r="AO1022" s="1" t="s">
        <v>102</v>
      </c>
    </row>
    <row r="1023" spans="1:41" x14ac:dyDescent="0.25">
      <c r="A1023" s="1" t="s">
        <v>19</v>
      </c>
      <c r="B1023" s="1" t="s">
        <v>48</v>
      </c>
      <c r="C1023" s="1" t="s">
        <v>21</v>
      </c>
      <c r="D1023" s="1" t="s">
        <v>49</v>
      </c>
      <c r="E1023" s="1" t="s">
        <v>96</v>
      </c>
      <c r="F1023" s="1" t="s">
        <v>103</v>
      </c>
      <c r="G1023" s="1" t="s">
        <v>320</v>
      </c>
      <c r="H1023" s="1" t="s">
        <v>321</v>
      </c>
      <c r="I1023" s="1" t="s">
        <v>174</v>
      </c>
      <c r="J1023" s="1" t="s">
        <v>101</v>
      </c>
      <c r="L1023" s="1">
        <v>2855503</v>
      </c>
      <c r="M1023" s="1" t="s">
        <v>1181</v>
      </c>
      <c r="N1023" s="8">
        <f t="shared" si="358"/>
        <v>44593</v>
      </c>
      <c r="O1023" s="8">
        <f>DATE(2025,12,23)</f>
        <v>46014</v>
      </c>
      <c r="P1023" s="1">
        <v>3260</v>
      </c>
      <c r="Q1023" s="1">
        <v>3200</v>
      </c>
      <c r="R1023" s="1">
        <f t="shared" si="340"/>
        <v>3200</v>
      </c>
      <c r="S1023" s="1">
        <v>2.5</v>
      </c>
      <c r="U1023" s="1">
        <f t="shared" si="341"/>
        <v>1422</v>
      </c>
      <c r="V1023" s="7">
        <f t="shared" si="342"/>
        <v>2.2503516174402249</v>
      </c>
      <c r="W1023" s="7">
        <f t="shared" si="343"/>
        <v>821.37834036568211</v>
      </c>
      <c r="X1023" s="7">
        <f t="shared" si="344"/>
        <v>1.0267229254571026</v>
      </c>
      <c r="AA1023" s="8">
        <f t="shared" si="345"/>
        <v>44927</v>
      </c>
      <c r="AB1023" s="8">
        <f t="shared" si="346"/>
        <v>45291</v>
      </c>
      <c r="AC1023" s="1">
        <v>17</v>
      </c>
      <c r="AD1023" s="1">
        <f t="shared" si="347"/>
        <v>365</v>
      </c>
      <c r="AE1023" s="1">
        <f t="shared" si="348"/>
        <v>0</v>
      </c>
      <c r="AF1023" s="1">
        <f t="shared" si="349"/>
        <v>0</v>
      </c>
      <c r="AG1023" s="1">
        <f t="shared" si="350"/>
        <v>0</v>
      </c>
      <c r="AH1023" s="1">
        <f t="shared" si="351"/>
        <v>0</v>
      </c>
      <c r="AI1023" s="5">
        <f t="shared" si="352"/>
        <v>1</v>
      </c>
      <c r="AJ1023" s="5">
        <f t="shared" si="353"/>
        <v>1.0267229254571026</v>
      </c>
      <c r="AK1023" s="5">
        <f t="shared" si="354"/>
        <v>17.454289732770746</v>
      </c>
      <c r="AL1023" s="5">
        <f t="shared" si="355"/>
        <v>43.635724331926866</v>
      </c>
      <c r="AM1023" s="5">
        <f t="shared" si="356"/>
        <v>0</v>
      </c>
      <c r="AN1023" s="5">
        <f t="shared" si="357"/>
        <v>43.635724331926866</v>
      </c>
      <c r="AO1023" s="1" t="s">
        <v>102</v>
      </c>
    </row>
    <row r="1024" spans="1:41" x14ac:dyDescent="0.25">
      <c r="A1024" s="1" t="s">
        <v>19</v>
      </c>
      <c r="B1024" s="1" t="s">
        <v>48</v>
      </c>
      <c r="C1024" s="1" t="s">
        <v>21</v>
      </c>
      <c r="D1024" s="1" t="s">
        <v>49</v>
      </c>
      <c r="E1024" s="1" t="s">
        <v>96</v>
      </c>
      <c r="F1024" s="1" t="s">
        <v>103</v>
      </c>
      <c r="G1024" s="1" t="s">
        <v>127</v>
      </c>
      <c r="H1024" s="1" t="s">
        <v>1143</v>
      </c>
      <c r="I1024" s="1" t="s">
        <v>162</v>
      </c>
      <c r="J1024" s="1" t="s">
        <v>101</v>
      </c>
      <c r="L1024" s="1">
        <v>2855509</v>
      </c>
      <c r="M1024" s="1" t="s">
        <v>1182</v>
      </c>
      <c r="N1024" s="8">
        <f t="shared" si="358"/>
        <v>44593</v>
      </c>
      <c r="O1024" s="8">
        <f>DATE(2024,12,23)</f>
        <v>45649</v>
      </c>
      <c r="P1024" s="1">
        <v>2194</v>
      </c>
      <c r="Q1024" s="1">
        <v>2000</v>
      </c>
      <c r="R1024" s="1">
        <f t="shared" si="340"/>
        <v>2000</v>
      </c>
      <c r="S1024" s="1">
        <v>1.5</v>
      </c>
      <c r="U1024" s="1">
        <f t="shared" si="341"/>
        <v>1057</v>
      </c>
      <c r="V1024" s="7">
        <f t="shared" si="342"/>
        <v>1.8921475875118259</v>
      </c>
      <c r="W1024" s="7">
        <f t="shared" si="343"/>
        <v>690.6338694418165</v>
      </c>
      <c r="X1024" s="7">
        <f t="shared" si="344"/>
        <v>0.86329233680227058</v>
      </c>
      <c r="AA1024" s="8">
        <f t="shared" si="345"/>
        <v>44927</v>
      </c>
      <c r="AB1024" s="8">
        <f t="shared" si="346"/>
        <v>45291</v>
      </c>
      <c r="AC1024" s="1">
        <v>41</v>
      </c>
      <c r="AD1024" s="1">
        <f t="shared" si="347"/>
        <v>365</v>
      </c>
      <c r="AE1024" s="1">
        <f t="shared" si="348"/>
        <v>0</v>
      </c>
      <c r="AF1024" s="1">
        <f t="shared" si="349"/>
        <v>0</v>
      </c>
      <c r="AG1024" s="1">
        <f t="shared" si="350"/>
        <v>0</v>
      </c>
      <c r="AH1024" s="1">
        <f t="shared" si="351"/>
        <v>0</v>
      </c>
      <c r="AI1024" s="5">
        <f t="shared" si="352"/>
        <v>1</v>
      </c>
      <c r="AJ1024" s="5">
        <f t="shared" si="353"/>
        <v>0.86329233680227058</v>
      </c>
      <c r="AK1024" s="5">
        <f t="shared" si="354"/>
        <v>35.394985808893097</v>
      </c>
      <c r="AL1024" s="5">
        <f t="shared" si="355"/>
        <v>53.092478713339645</v>
      </c>
      <c r="AM1024" s="5">
        <f t="shared" si="356"/>
        <v>0</v>
      </c>
      <c r="AN1024" s="5">
        <f t="shared" si="357"/>
        <v>53.092478713339645</v>
      </c>
      <c r="AO1024" s="1" t="s">
        <v>102</v>
      </c>
    </row>
    <row r="1025" spans="1:41" x14ac:dyDescent="0.25">
      <c r="A1025" s="1" t="s">
        <v>19</v>
      </c>
      <c r="B1025" s="1" t="s">
        <v>48</v>
      </c>
      <c r="C1025" s="1" t="s">
        <v>21</v>
      </c>
      <c r="D1025" s="1" t="s">
        <v>49</v>
      </c>
      <c r="E1025" s="1" t="s">
        <v>96</v>
      </c>
      <c r="F1025" s="1" t="s">
        <v>103</v>
      </c>
      <c r="G1025" s="1" t="s">
        <v>98</v>
      </c>
      <c r="H1025" s="1" t="s">
        <v>542</v>
      </c>
      <c r="I1025" s="1" t="s">
        <v>210</v>
      </c>
      <c r="J1025" s="1" t="s">
        <v>101</v>
      </c>
      <c r="L1025" s="1">
        <v>2855518</v>
      </c>
      <c r="M1025" s="1" t="s">
        <v>1183</v>
      </c>
      <c r="N1025" s="8">
        <f t="shared" si="358"/>
        <v>44593</v>
      </c>
      <c r="O1025" s="8">
        <f>DATE(2026,12,23)</f>
        <v>46379</v>
      </c>
      <c r="P1025" s="1">
        <v>4960</v>
      </c>
      <c r="Q1025" s="1">
        <v>3600</v>
      </c>
      <c r="R1025" s="1">
        <f t="shared" si="340"/>
        <v>3600</v>
      </c>
      <c r="S1025" s="1">
        <v>2.5</v>
      </c>
      <c r="U1025" s="1">
        <f t="shared" si="341"/>
        <v>1787</v>
      </c>
      <c r="V1025" s="7">
        <f t="shared" si="342"/>
        <v>2.0145495243424736</v>
      </c>
      <c r="W1025" s="7">
        <f t="shared" si="343"/>
        <v>735.31057638500283</v>
      </c>
      <c r="X1025" s="7">
        <f t="shared" si="344"/>
        <v>0.91913822048125349</v>
      </c>
      <c r="AA1025" s="8">
        <f t="shared" si="345"/>
        <v>44927</v>
      </c>
      <c r="AB1025" s="8">
        <f t="shared" si="346"/>
        <v>45291</v>
      </c>
      <c r="AC1025" s="1">
        <v>18</v>
      </c>
      <c r="AD1025" s="1">
        <f t="shared" si="347"/>
        <v>365</v>
      </c>
      <c r="AE1025" s="1">
        <f t="shared" si="348"/>
        <v>0</v>
      </c>
      <c r="AF1025" s="1">
        <f t="shared" si="349"/>
        <v>0</v>
      </c>
      <c r="AG1025" s="1">
        <f t="shared" si="350"/>
        <v>0</v>
      </c>
      <c r="AH1025" s="1">
        <f t="shared" si="351"/>
        <v>0</v>
      </c>
      <c r="AI1025" s="5">
        <f t="shared" si="352"/>
        <v>1</v>
      </c>
      <c r="AJ1025" s="5">
        <f t="shared" si="353"/>
        <v>0.91913822048125349</v>
      </c>
      <c r="AK1025" s="5">
        <f t="shared" si="354"/>
        <v>16.544487968662562</v>
      </c>
      <c r="AL1025" s="5">
        <f t="shared" si="355"/>
        <v>41.361219921656406</v>
      </c>
      <c r="AM1025" s="5">
        <f t="shared" si="356"/>
        <v>0</v>
      </c>
      <c r="AN1025" s="5">
        <f t="shared" si="357"/>
        <v>41.361219921656406</v>
      </c>
      <c r="AO1025" s="1" t="s">
        <v>102</v>
      </c>
    </row>
    <row r="1026" spans="1:41" x14ac:dyDescent="0.25">
      <c r="A1026" s="1" t="s">
        <v>19</v>
      </c>
      <c r="B1026" s="1" t="s">
        <v>48</v>
      </c>
      <c r="C1026" s="1" t="s">
        <v>21</v>
      </c>
      <c r="D1026" s="1" t="s">
        <v>49</v>
      </c>
      <c r="E1026" s="1" t="s">
        <v>96</v>
      </c>
      <c r="F1026" s="1" t="s">
        <v>103</v>
      </c>
      <c r="G1026" s="1" t="s">
        <v>114</v>
      </c>
      <c r="H1026" s="1" t="s">
        <v>592</v>
      </c>
      <c r="I1026" s="1" t="s">
        <v>210</v>
      </c>
      <c r="J1026" s="1" t="s">
        <v>101</v>
      </c>
      <c r="K1026" s="1" t="s">
        <v>175</v>
      </c>
      <c r="L1026" s="1">
        <v>2855523</v>
      </c>
      <c r="M1026" s="1" t="s">
        <v>1184</v>
      </c>
      <c r="N1026" s="8">
        <f t="shared" si="358"/>
        <v>44593</v>
      </c>
      <c r="O1026" s="8">
        <f>DATE(2023,12,23)</f>
        <v>45283</v>
      </c>
      <c r="P1026" s="1">
        <v>1360</v>
      </c>
      <c r="Q1026" s="1">
        <v>1200</v>
      </c>
      <c r="R1026" s="1">
        <f t="shared" si="340"/>
        <v>1200</v>
      </c>
      <c r="S1026" s="1">
        <v>2.5</v>
      </c>
      <c r="U1026" s="1">
        <f t="shared" si="341"/>
        <v>691</v>
      </c>
      <c r="V1026" s="7">
        <f t="shared" si="342"/>
        <v>1.7366136034732271</v>
      </c>
      <c r="W1026" s="7">
        <f t="shared" si="343"/>
        <v>633.86396526772785</v>
      </c>
      <c r="X1026" s="7">
        <f t="shared" si="344"/>
        <v>0.79232995658465977</v>
      </c>
      <c r="AA1026" s="8">
        <f t="shared" si="345"/>
        <v>44927</v>
      </c>
      <c r="AB1026" s="8">
        <f t="shared" si="346"/>
        <v>45291</v>
      </c>
      <c r="AC1026" s="1">
        <v>29</v>
      </c>
      <c r="AD1026" s="1">
        <f t="shared" si="347"/>
        <v>0</v>
      </c>
      <c r="AE1026" s="1">
        <f t="shared" si="348"/>
        <v>0</v>
      </c>
      <c r="AF1026" s="1">
        <f t="shared" si="349"/>
        <v>357</v>
      </c>
      <c r="AG1026" s="1">
        <f t="shared" si="350"/>
        <v>0</v>
      </c>
      <c r="AH1026" s="1">
        <f t="shared" si="351"/>
        <v>0</v>
      </c>
      <c r="AI1026" s="5">
        <f t="shared" si="352"/>
        <v>0.9780821917808219</v>
      </c>
      <c r="AJ1026" s="5">
        <f t="shared" si="353"/>
        <v>0.77496382054992752</v>
      </c>
      <c r="AK1026" s="5">
        <f t="shared" si="354"/>
        <v>22.473950795947896</v>
      </c>
      <c r="AL1026" s="5">
        <f t="shared" si="355"/>
        <v>56.184876989869743</v>
      </c>
      <c r="AM1026" s="5">
        <f t="shared" si="356"/>
        <v>0</v>
      </c>
      <c r="AN1026" s="5">
        <f t="shared" si="357"/>
        <v>56.184876989869743</v>
      </c>
      <c r="AO1026" s="1" t="s">
        <v>102</v>
      </c>
    </row>
    <row r="1027" spans="1:41" x14ac:dyDescent="0.25">
      <c r="A1027" s="1" t="s">
        <v>19</v>
      </c>
      <c r="B1027" s="1" t="s">
        <v>48</v>
      </c>
      <c r="C1027" s="1" t="s">
        <v>21</v>
      </c>
      <c r="D1027" s="1" t="s">
        <v>49</v>
      </c>
      <c r="E1027" s="1" t="s">
        <v>96</v>
      </c>
      <c r="F1027" s="1" t="s">
        <v>103</v>
      </c>
      <c r="G1027" s="1" t="s">
        <v>114</v>
      </c>
      <c r="H1027" s="1" t="s">
        <v>212</v>
      </c>
      <c r="I1027" s="1" t="s">
        <v>210</v>
      </c>
      <c r="J1027" s="1" t="s">
        <v>101</v>
      </c>
      <c r="K1027" s="1" t="s">
        <v>116</v>
      </c>
      <c r="L1027" s="1">
        <v>2960535</v>
      </c>
      <c r="M1027" s="1" t="s">
        <v>1185</v>
      </c>
      <c r="N1027" s="8">
        <f t="shared" ref="N1027:N1033" si="359">DATE(2023,2,1)</f>
        <v>44958</v>
      </c>
      <c r="O1027" s="8">
        <f>DATE(2025,12,22)</f>
        <v>46013</v>
      </c>
      <c r="P1027" s="1">
        <v>3706</v>
      </c>
      <c r="Q1027" s="1">
        <v>1200</v>
      </c>
      <c r="R1027" s="1">
        <f t="shared" si="340"/>
        <v>3200</v>
      </c>
      <c r="S1027" s="1">
        <v>2.5</v>
      </c>
      <c r="U1027" s="1">
        <f t="shared" si="341"/>
        <v>1056</v>
      </c>
      <c r="V1027" s="7">
        <f t="shared" si="342"/>
        <v>3.0303030303030303</v>
      </c>
      <c r="W1027" s="7">
        <f t="shared" si="343"/>
        <v>1106.060606060606</v>
      </c>
      <c r="X1027" s="7">
        <f t="shared" si="344"/>
        <v>1.3825757575757576</v>
      </c>
      <c r="AA1027" s="8">
        <f t="shared" si="345"/>
        <v>44927</v>
      </c>
      <c r="AB1027" s="8">
        <f t="shared" si="346"/>
        <v>45291</v>
      </c>
      <c r="AC1027" s="1">
        <v>58</v>
      </c>
      <c r="AD1027" s="1">
        <f t="shared" si="347"/>
        <v>0</v>
      </c>
      <c r="AE1027" s="1">
        <f t="shared" si="348"/>
        <v>334</v>
      </c>
      <c r="AF1027" s="1">
        <f t="shared" si="349"/>
        <v>0</v>
      </c>
      <c r="AG1027" s="1">
        <f t="shared" si="350"/>
        <v>0</v>
      </c>
      <c r="AH1027" s="1">
        <f t="shared" si="351"/>
        <v>0</v>
      </c>
      <c r="AI1027" s="5">
        <f t="shared" si="352"/>
        <v>0.91506849315068495</v>
      </c>
      <c r="AJ1027" s="5">
        <f t="shared" si="353"/>
        <v>1.2651515151515151</v>
      </c>
      <c r="AK1027" s="5">
        <f t="shared" si="354"/>
        <v>73.378787878787875</v>
      </c>
      <c r="AL1027" s="5">
        <f t="shared" si="355"/>
        <v>183.44696969696969</v>
      </c>
      <c r="AM1027" s="5">
        <f t="shared" si="356"/>
        <v>0</v>
      </c>
      <c r="AN1027" s="5">
        <f t="shared" si="357"/>
        <v>183.44696969696969</v>
      </c>
      <c r="AO1027" s="1" t="s">
        <v>102</v>
      </c>
    </row>
    <row r="1028" spans="1:41" x14ac:dyDescent="0.25">
      <c r="A1028" s="1" t="s">
        <v>19</v>
      </c>
      <c r="B1028" s="1" t="s">
        <v>48</v>
      </c>
      <c r="C1028" s="1" t="s">
        <v>21</v>
      </c>
      <c r="D1028" s="1" t="s">
        <v>49</v>
      </c>
      <c r="E1028" s="1" t="s">
        <v>96</v>
      </c>
      <c r="F1028" s="1" t="s">
        <v>103</v>
      </c>
      <c r="G1028" s="1" t="s">
        <v>114</v>
      </c>
      <c r="H1028" s="1" t="s">
        <v>247</v>
      </c>
      <c r="I1028" s="1" t="s">
        <v>162</v>
      </c>
      <c r="J1028" s="1" t="s">
        <v>101</v>
      </c>
      <c r="K1028" s="1" t="s">
        <v>116</v>
      </c>
      <c r="L1028" s="1">
        <v>2960541</v>
      </c>
      <c r="M1028" s="1" t="s">
        <v>1186</v>
      </c>
      <c r="N1028" s="8">
        <f t="shared" si="359"/>
        <v>44958</v>
      </c>
      <c r="O1028" s="8">
        <f>DATE(2025,12,22)</f>
        <v>46013</v>
      </c>
      <c r="P1028" s="1">
        <v>3672</v>
      </c>
      <c r="Q1028" s="1">
        <v>1200</v>
      </c>
      <c r="R1028" s="1">
        <f t="shared" si="340"/>
        <v>3200</v>
      </c>
      <c r="S1028" s="1">
        <v>1.5</v>
      </c>
      <c r="U1028" s="1">
        <f t="shared" si="341"/>
        <v>1056</v>
      </c>
      <c r="V1028" s="7">
        <f t="shared" si="342"/>
        <v>3.0303030303030303</v>
      </c>
      <c r="W1028" s="7">
        <f t="shared" si="343"/>
        <v>1106.060606060606</v>
      </c>
      <c r="X1028" s="7">
        <f t="shared" si="344"/>
        <v>1.3825757575757576</v>
      </c>
      <c r="AA1028" s="8">
        <f t="shared" si="345"/>
        <v>44927</v>
      </c>
      <c r="AB1028" s="8">
        <f t="shared" si="346"/>
        <v>45291</v>
      </c>
      <c r="AC1028" s="1">
        <v>41</v>
      </c>
      <c r="AD1028" s="1">
        <f t="shared" si="347"/>
        <v>0</v>
      </c>
      <c r="AE1028" s="1">
        <f t="shared" si="348"/>
        <v>334</v>
      </c>
      <c r="AF1028" s="1">
        <f t="shared" si="349"/>
        <v>0</v>
      </c>
      <c r="AG1028" s="1">
        <f t="shared" si="350"/>
        <v>0</v>
      </c>
      <c r="AH1028" s="1">
        <f t="shared" si="351"/>
        <v>0</v>
      </c>
      <c r="AI1028" s="5">
        <f t="shared" si="352"/>
        <v>0.91506849315068495</v>
      </c>
      <c r="AJ1028" s="5">
        <f t="shared" si="353"/>
        <v>1.2651515151515151</v>
      </c>
      <c r="AK1028" s="5">
        <f t="shared" si="354"/>
        <v>51.871212121212118</v>
      </c>
      <c r="AL1028" s="5">
        <f t="shared" si="355"/>
        <v>77.806818181818173</v>
      </c>
      <c r="AM1028" s="5">
        <f t="shared" si="356"/>
        <v>0</v>
      </c>
      <c r="AN1028" s="5">
        <f t="shared" si="357"/>
        <v>77.806818181818173</v>
      </c>
      <c r="AO1028" s="1" t="s">
        <v>102</v>
      </c>
    </row>
    <row r="1029" spans="1:41" x14ac:dyDescent="0.25">
      <c r="A1029" s="1" t="s">
        <v>19</v>
      </c>
      <c r="B1029" s="1" t="s">
        <v>48</v>
      </c>
      <c r="C1029" s="1" t="s">
        <v>21</v>
      </c>
      <c r="D1029" s="1" t="s">
        <v>49</v>
      </c>
      <c r="E1029" s="1" t="s">
        <v>96</v>
      </c>
      <c r="F1029" s="1" t="s">
        <v>103</v>
      </c>
      <c r="G1029" s="1" t="s">
        <v>114</v>
      </c>
      <c r="H1029" s="1" t="s">
        <v>592</v>
      </c>
      <c r="I1029" s="1" t="s">
        <v>210</v>
      </c>
      <c r="J1029" s="1" t="s">
        <v>101</v>
      </c>
      <c r="K1029" s="1" t="s">
        <v>116</v>
      </c>
      <c r="L1029" s="1">
        <v>2960564</v>
      </c>
      <c r="M1029" s="1" t="s">
        <v>1187</v>
      </c>
      <c r="N1029" s="8">
        <f t="shared" si="359"/>
        <v>44958</v>
      </c>
      <c r="O1029" s="8">
        <f>DATE(2025,12,22)</f>
        <v>46013</v>
      </c>
      <c r="P1029" s="1">
        <v>3672</v>
      </c>
      <c r="Q1029" s="1">
        <v>1200</v>
      </c>
      <c r="R1029" s="1">
        <f t="shared" si="340"/>
        <v>3200</v>
      </c>
      <c r="S1029" s="1">
        <v>2.5</v>
      </c>
      <c r="U1029" s="1">
        <f t="shared" si="341"/>
        <v>1056</v>
      </c>
      <c r="V1029" s="7">
        <f t="shared" si="342"/>
        <v>3.0303030303030303</v>
      </c>
      <c r="W1029" s="7">
        <f t="shared" si="343"/>
        <v>1106.060606060606</v>
      </c>
      <c r="X1029" s="7">
        <f t="shared" si="344"/>
        <v>1.3825757575757576</v>
      </c>
      <c r="AA1029" s="8">
        <f t="shared" si="345"/>
        <v>44927</v>
      </c>
      <c r="AB1029" s="8">
        <f t="shared" si="346"/>
        <v>45291</v>
      </c>
      <c r="AC1029" s="1">
        <v>58</v>
      </c>
      <c r="AD1029" s="1">
        <f t="shared" si="347"/>
        <v>0</v>
      </c>
      <c r="AE1029" s="1">
        <f t="shared" si="348"/>
        <v>334</v>
      </c>
      <c r="AF1029" s="1">
        <f t="shared" si="349"/>
        <v>0</v>
      </c>
      <c r="AG1029" s="1">
        <f t="shared" si="350"/>
        <v>0</v>
      </c>
      <c r="AH1029" s="1">
        <f t="shared" si="351"/>
        <v>0</v>
      </c>
      <c r="AI1029" s="5">
        <f t="shared" si="352"/>
        <v>0.91506849315068495</v>
      </c>
      <c r="AJ1029" s="5">
        <f t="shared" si="353"/>
        <v>1.2651515151515151</v>
      </c>
      <c r="AK1029" s="5">
        <f t="shared" si="354"/>
        <v>73.378787878787875</v>
      </c>
      <c r="AL1029" s="5">
        <f t="shared" si="355"/>
        <v>183.44696969696969</v>
      </c>
      <c r="AM1029" s="5">
        <f t="shared" si="356"/>
        <v>0</v>
      </c>
      <c r="AN1029" s="5">
        <f t="shared" si="357"/>
        <v>183.44696969696969</v>
      </c>
      <c r="AO1029" s="1" t="s">
        <v>102</v>
      </c>
    </row>
    <row r="1030" spans="1:41" x14ac:dyDescent="0.25">
      <c r="A1030" s="1" t="s">
        <v>19</v>
      </c>
      <c r="B1030" s="1" t="s">
        <v>48</v>
      </c>
      <c r="C1030" s="1" t="s">
        <v>21</v>
      </c>
      <c r="D1030" s="1" t="s">
        <v>49</v>
      </c>
      <c r="E1030" s="1" t="s">
        <v>96</v>
      </c>
      <c r="F1030" s="1" t="s">
        <v>103</v>
      </c>
      <c r="G1030" s="1" t="s">
        <v>114</v>
      </c>
      <c r="H1030" s="1" t="s">
        <v>1154</v>
      </c>
      <c r="I1030" s="1" t="s">
        <v>100</v>
      </c>
      <c r="J1030" s="1" t="s">
        <v>101</v>
      </c>
      <c r="K1030" s="1" t="s">
        <v>116</v>
      </c>
      <c r="L1030" s="1">
        <v>2960599</v>
      </c>
      <c r="M1030" s="1" t="s">
        <v>1188</v>
      </c>
      <c r="N1030" s="8">
        <f t="shared" si="359"/>
        <v>44958</v>
      </c>
      <c r="O1030" s="8">
        <f>DATE(2025,12,22)</f>
        <v>46013</v>
      </c>
      <c r="P1030" s="1">
        <v>3264</v>
      </c>
      <c r="Q1030" s="1">
        <v>800</v>
      </c>
      <c r="R1030" s="1">
        <f t="shared" si="340"/>
        <v>3000</v>
      </c>
      <c r="S1030" s="1">
        <v>1.5</v>
      </c>
      <c r="U1030" s="1">
        <f t="shared" si="341"/>
        <v>1056</v>
      </c>
      <c r="V1030" s="7">
        <f t="shared" si="342"/>
        <v>2.8409090909090908</v>
      </c>
      <c r="W1030" s="7">
        <f t="shared" si="343"/>
        <v>1036.9318181818182</v>
      </c>
      <c r="X1030" s="7">
        <f t="shared" si="344"/>
        <v>1.2961647727272727</v>
      </c>
      <c r="AA1030" s="8">
        <f t="shared" si="345"/>
        <v>44927</v>
      </c>
      <c r="AB1030" s="8">
        <f t="shared" si="346"/>
        <v>45291</v>
      </c>
      <c r="AC1030" s="1">
        <v>71</v>
      </c>
      <c r="AD1030" s="1">
        <f t="shared" si="347"/>
        <v>0</v>
      </c>
      <c r="AE1030" s="1">
        <f t="shared" si="348"/>
        <v>334</v>
      </c>
      <c r="AF1030" s="1">
        <f t="shared" si="349"/>
        <v>0</v>
      </c>
      <c r="AG1030" s="1">
        <f t="shared" si="350"/>
        <v>0</v>
      </c>
      <c r="AH1030" s="1">
        <f t="shared" si="351"/>
        <v>0</v>
      </c>
      <c r="AI1030" s="5">
        <f t="shared" si="352"/>
        <v>0.91506849315068495</v>
      </c>
      <c r="AJ1030" s="5">
        <f t="shared" si="353"/>
        <v>1.1860795454545454</v>
      </c>
      <c r="AK1030" s="5">
        <f t="shared" si="354"/>
        <v>84.21164772727272</v>
      </c>
      <c r="AL1030" s="5">
        <f t="shared" si="355"/>
        <v>126.31747159090908</v>
      </c>
      <c r="AM1030" s="5">
        <f t="shared" si="356"/>
        <v>0</v>
      </c>
      <c r="AN1030" s="5">
        <f t="shared" si="357"/>
        <v>126.31747159090908</v>
      </c>
      <c r="AO1030" s="1" t="s">
        <v>102</v>
      </c>
    </row>
    <row r="1031" spans="1:41" x14ac:dyDescent="0.25">
      <c r="A1031" s="1" t="s">
        <v>19</v>
      </c>
      <c r="B1031" s="1" t="s">
        <v>48</v>
      </c>
      <c r="C1031" s="1" t="s">
        <v>21</v>
      </c>
      <c r="D1031" s="1" t="s">
        <v>49</v>
      </c>
      <c r="E1031" s="1" t="s">
        <v>96</v>
      </c>
      <c r="F1031" s="1" t="s">
        <v>103</v>
      </c>
      <c r="G1031" s="1" t="s">
        <v>127</v>
      </c>
      <c r="H1031" s="1" t="s">
        <v>1143</v>
      </c>
      <c r="I1031" s="1" t="s">
        <v>162</v>
      </c>
      <c r="J1031" s="1" t="s">
        <v>101</v>
      </c>
      <c r="L1031" s="1">
        <v>2960701</v>
      </c>
      <c r="M1031" s="1" t="s">
        <v>1189</v>
      </c>
      <c r="N1031" s="8">
        <f t="shared" si="359"/>
        <v>44958</v>
      </c>
      <c r="O1031" s="8">
        <f>DATE(2025,12,22)</f>
        <v>46013</v>
      </c>
      <c r="P1031" s="1">
        <v>2194</v>
      </c>
      <c r="Q1031" s="1">
        <v>2000</v>
      </c>
      <c r="R1031" s="1">
        <f t="shared" si="340"/>
        <v>2000</v>
      </c>
      <c r="S1031" s="1">
        <v>1.5</v>
      </c>
      <c r="U1031" s="1">
        <f t="shared" si="341"/>
        <v>1056</v>
      </c>
      <c r="V1031" s="7">
        <f t="shared" si="342"/>
        <v>1.893939393939394</v>
      </c>
      <c r="W1031" s="7">
        <f t="shared" si="343"/>
        <v>691.28787878787887</v>
      </c>
      <c r="X1031" s="7">
        <f t="shared" si="344"/>
        <v>0.86410984848484862</v>
      </c>
      <c r="AA1031" s="8">
        <f t="shared" si="345"/>
        <v>44927</v>
      </c>
      <c r="AB1031" s="8">
        <f t="shared" si="346"/>
        <v>45291</v>
      </c>
      <c r="AC1031" s="1">
        <v>35</v>
      </c>
      <c r="AD1031" s="1">
        <f t="shared" si="347"/>
        <v>0</v>
      </c>
      <c r="AE1031" s="1">
        <f t="shared" si="348"/>
        <v>334</v>
      </c>
      <c r="AF1031" s="1">
        <f t="shared" si="349"/>
        <v>0</v>
      </c>
      <c r="AG1031" s="1">
        <f t="shared" si="350"/>
        <v>0</v>
      </c>
      <c r="AH1031" s="1">
        <f t="shared" si="351"/>
        <v>0</v>
      </c>
      <c r="AI1031" s="5">
        <f t="shared" si="352"/>
        <v>0.91506849315068495</v>
      </c>
      <c r="AJ1031" s="5">
        <f t="shared" si="353"/>
        <v>0.79071969696969713</v>
      </c>
      <c r="AK1031" s="5">
        <f t="shared" si="354"/>
        <v>27.675189393939398</v>
      </c>
      <c r="AL1031" s="5">
        <f t="shared" si="355"/>
        <v>41.512784090909093</v>
      </c>
      <c r="AM1031" s="5">
        <f t="shared" si="356"/>
        <v>0</v>
      </c>
      <c r="AN1031" s="5">
        <f t="shared" si="357"/>
        <v>41.512784090909093</v>
      </c>
      <c r="AO1031" s="1" t="s">
        <v>102</v>
      </c>
    </row>
    <row r="1032" spans="1:41" x14ac:dyDescent="0.25">
      <c r="A1032" s="1" t="s">
        <v>19</v>
      </c>
      <c r="B1032" s="1" t="s">
        <v>48</v>
      </c>
      <c r="C1032" s="1" t="s">
        <v>21</v>
      </c>
      <c r="D1032" s="1" t="s">
        <v>49</v>
      </c>
      <c r="E1032" s="1" t="s">
        <v>96</v>
      </c>
      <c r="F1032" s="1" t="s">
        <v>103</v>
      </c>
      <c r="G1032" s="1" t="s">
        <v>98</v>
      </c>
      <c r="H1032" s="1" t="s">
        <v>542</v>
      </c>
      <c r="I1032" s="1" t="s">
        <v>210</v>
      </c>
      <c r="J1032" s="1" t="s">
        <v>101</v>
      </c>
      <c r="L1032" s="1">
        <v>2960712</v>
      </c>
      <c r="M1032" s="1" t="s">
        <v>1190</v>
      </c>
      <c r="N1032" s="8">
        <f t="shared" si="359"/>
        <v>44958</v>
      </c>
      <c r="O1032" s="8">
        <f>DATE(2027,12,20)</f>
        <v>46741</v>
      </c>
      <c r="P1032" s="1">
        <v>4552</v>
      </c>
      <c r="Q1032" s="1">
        <v>3600</v>
      </c>
      <c r="R1032" s="1">
        <f t="shared" si="340"/>
        <v>3600</v>
      </c>
      <c r="S1032" s="1">
        <v>2.5</v>
      </c>
      <c r="U1032" s="1">
        <f t="shared" si="341"/>
        <v>1784</v>
      </c>
      <c r="V1032" s="7">
        <f t="shared" si="342"/>
        <v>2.0179372197309418</v>
      </c>
      <c r="W1032" s="7">
        <f t="shared" si="343"/>
        <v>736.54708520179372</v>
      </c>
      <c r="X1032" s="7">
        <f t="shared" si="344"/>
        <v>0.92068385650224216</v>
      </c>
      <c r="AA1032" s="8">
        <f t="shared" si="345"/>
        <v>44927</v>
      </c>
      <c r="AB1032" s="8">
        <f t="shared" si="346"/>
        <v>45291</v>
      </c>
      <c r="AC1032" s="1">
        <v>31</v>
      </c>
      <c r="AD1032" s="1">
        <f t="shared" si="347"/>
        <v>0</v>
      </c>
      <c r="AE1032" s="1">
        <f t="shared" si="348"/>
        <v>334</v>
      </c>
      <c r="AF1032" s="1">
        <f t="shared" si="349"/>
        <v>0</v>
      </c>
      <c r="AG1032" s="1">
        <f t="shared" si="350"/>
        <v>0</v>
      </c>
      <c r="AH1032" s="1">
        <f t="shared" si="351"/>
        <v>0</v>
      </c>
      <c r="AI1032" s="5">
        <f t="shared" si="352"/>
        <v>0.91506849315068495</v>
      </c>
      <c r="AJ1032" s="5">
        <f t="shared" si="353"/>
        <v>0.84248878923766823</v>
      </c>
      <c r="AK1032" s="5">
        <f t="shared" si="354"/>
        <v>26.117152466367717</v>
      </c>
      <c r="AL1032" s="5">
        <f t="shared" si="355"/>
        <v>65.292881165919297</v>
      </c>
      <c r="AM1032" s="5">
        <f t="shared" si="356"/>
        <v>0</v>
      </c>
      <c r="AN1032" s="5">
        <f t="shared" si="357"/>
        <v>65.292881165919297</v>
      </c>
      <c r="AO1032" s="1" t="s">
        <v>102</v>
      </c>
    </row>
    <row r="1033" spans="1:41" x14ac:dyDescent="0.25">
      <c r="A1033" s="1" t="s">
        <v>19</v>
      </c>
      <c r="B1033" s="1" t="s">
        <v>48</v>
      </c>
      <c r="C1033" s="1" t="s">
        <v>21</v>
      </c>
      <c r="D1033" s="1" t="s">
        <v>49</v>
      </c>
      <c r="E1033" s="1" t="s">
        <v>96</v>
      </c>
      <c r="F1033" s="1" t="s">
        <v>103</v>
      </c>
      <c r="G1033" s="1" t="s">
        <v>320</v>
      </c>
      <c r="H1033" s="1" t="s">
        <v>321</v>
      </c>
      <c r="I1033" s="1" t="s">
        <v>174</v>
      </c>
      <c r="J1033" s="1" t="s">
        <v>101</v>
      </c>
      <c r="L1033" s="1">
        <v>2960719</v>
      </c>
      <c r="M1033" s="1" t="s">
        <v>1191</v>
      </c>
      <c r="N1033" s="8">
        <f t="shared" si="359"/>
        <v>44958</v>
      </c>
      <c r="O1033" s="8">
        <f>DATE(2026,12,21)</f>
        <v>46377</v>
      </c>
      <c r="P1033" s="1">
        <v>3260</v>
      </c>
      <c r="Q1033" s="1">
        <v>3200</v>
      </c>
      <c r="R1033" s="1">
        <f t="shared" si="340"/>
        <v>3200</v>
      </c>
      <c r="S1033" s="1">
        <v>2.5</v>
      </c>
      <c r="U1033" s="1">
        <f t="shared" si="341"/>
        <v>1420</v>
      </c>
      <c r="V1033" s="7">
        <f t="shared" si="342"/>
        <v>2.2535211267605635</v>
      </c>
      <c r="W1033" s="7">
        <f t="shared" si="343"/>
        <v>822.53521126760563</v>
      </c>
      <c r="X1033" s="7">
        <f t="shared" si="344"/>
        <v>1.028169014084507</v>
      </c>
      <c r="AA1033" s="8">
        <f t="shared" si="345"/>
        <v>44927</v>
      </c>
      <c r="AB1033" s="8">
        <f t="shared" si="346"/>
        <v>45291</v>
      </c>
      <c r="AC1033" s="1">
        <v>31</v>
      </c>
      <c r="AD1033" s="1">
        <f t="shared" si="347"/>
        <v>0</v>
      </c>
      <c r="AE1033" s="1">
        <f t="shared" si="348"/>
        <v>334</v>
      </c>
      <c r="AF1033" s="1">
        <f t="shared" si="349"/>
        <v>0</v>
      </c>
      <c r="AG1033" s="1">
        <f t="shared" si="350"/>
        <v>0</v>
      </c>
      <c r="AH1033" s="1">
        <f t="shared" si="351"/>
        <v>0</v>
      </c>
      <c r="AI1033" s="5">
        <f t="shared" si="352"/>
        <v>0.91506849315068495</v>
      </c>
      <c r="AJ1033" s="5">
        <f t="shared" si="353"/>
        <v>0.94084507042253518</v>
      </c>
      <c r="AK1033" s="5">
        <f t="shared" si="354"/>
        <v>29.166197183098589</v>
      </c>
      <c r="AL1033" s="5">
        <f t="shared" si="355"/>
        <v>72.915492957746466</v>
      </c>
      <c r="AM1033" s="5">
        <f t="shared" si="356"/>
        <v>0</v>
      </c>
      <c r="AN1033" s="5">
        <f t="shared" si="357"/>
        <v>72.915492957746466</v>
      </c>
      <c r="AO1033" s="1" t="s">
        <v>102</v>
      </c>
    </row>
    <row r="1034" spans="1:41" x14ac:dyDescent="0.25">
      <c r="A1034" s="1" t="s">
        <v>19</v>
      </c>
      <c r="B1034" s="1" t="s">
        <v>48</v>
      </c>
      <c r="C1034" s="1" t="s">
        <v>21</v>
      </c>
      <c r="D1034" s="1" t="s">
        <v>49</v>
      </c>
      <c r="E1034" s="1" t="s">
        <v>172</v>
      </c>
      <c r="F1034" s="1" t="s">
        <v>103</v>
      </c>
      <c r="G1034" s="1" t="s">
        <v>114</v>
      </c>
      <c r="H1034" s="1" t="s">
        <v>179</v>
      </c>
      <c r="I1034" s="1" t="s">
        <v>174</v>
      </c>
      <c r="J1034" s="1" t="s">
        <v>101</v>
      </c>
      <c r="K1034" s="1" t="s">
        <v>175</v>
      </c>
      <c r="L1034" s="1">
        <v>2966660</v>
      </c>
      <c r="M1034" s="1" t="s">
        <v>347</v>
      </c>
      <c r="N1034" s="8">
        <f>DATE(2023,4,3)</f>
        <v>45019</v>
      </c>
      <c r="O1034" s="8">
        <f>DATE(2024,10,31)</f>
        <v>45596</v>
      </c>
      <c r="P1034" s="1">
        <v>800</v>
      </c>
      <c r="Q1034" s="1">
        <v>800</v>
      </c>
      <c r="R1034" s="1">
        <f t="shared" si="340"/>
        <v>800</v>
      </c>
      <c r="S1034" s="1">
        <v>1.5</v>
      </c>
      <c r="U1034" s="1">
        <f t="shared" si="341"/>
        <v>578</v>
      </c>
      <c r="V1034" s="7">
        <f t="shared" si="342"/>
        <v>1.3840830449826989</v>
      </c>
      <c r="W1034" s="7">
        <f t="shared" si="343"/>
        <v>505.1903114186851</v>
      </c>
      <c r="X1034" s="7">
        <f t="shared" si="344"/>
        <v>0.63148788927335642</v>
      </c>
      <c r="AA1034" s="8">
        <f t="shared" si="345"/>
        <v>44927</v>
      </c>
      <c r="AB1034" s="8">
        <f t="shared" si="346"/>
        <v>45291</v>
      </c>
      <c r="AC1034" s="1">
        <v>14</v>
      </c>
      <c r="AD1034" s="1">
        <f t="shared" si="347"/>
        <v>0</v>
      </c>
      <c r="AE1034" s="1">
        <f t="shared" si="348"/>
        <v>273</v>
      </c>
      <c r="AF1034" s="1">
        <f t="shared" si="349"/>
        <v>0</v>
      </c>
      <c r="AG1034" s="1">
        <f t="shared" si="350"/>
        <v>0</v>
      </c>
      <c r="AH1034" s="1">
        <f t="shared" si="351"/>
        <v>0</v>
      </c>
      <c r="AI1034" s="5">
        <f t="shared" si="352"/>
        <v>0.74794520547945209</v>
      </c>
      <c r="AJ1034" s="5">
        <f t="shared" si="353"/>
        <v>0.47231833910034604</v>
      </c>
      <c r="AK1034" s="5">
        <f t="shared" si="354"/>
        <v>6.6124567474048446</v>
      </c>
      <c r="AL1034" s="5">
        <f t="shared" si="355"/>
        <v>9.9186851211072664</v>
      </c>
      <c r="AM1034" s="5">
        <f t="shared" si="356"/>
        <v>0</v>
      </c>
      <c r="AN1034" s="5">
        <f t="shared" si="357"/>
        <v>9.9186851211072664</v>
      </c>
      <c r="AO1034" s="1" t="s">
        <v>122</v>
      </c>
    </row>
    <row r="1035" spans="1:41" x14ac:dyDescent="0.25">
      <c r="A1035" s="1" t="s">
        <v>19</v>
      </c>
      <c r="B1035" s="1" t="s">
        <v>48</v>
      </c>
      <c r="C1035" s="1" t="s">
        <v>21</v>
      </c>
      <c r="D1035" s="1" t="s">
        <v>49</v>
      </c>
      <c r="E1035" s="1" t="s">
        <v>172</v>
      </c>
      <c r="F1035" s="1" t="s">
        <v>103</v>
      </c>
      <c r="G1035" s="1" t="s">
        <v>114</v>
      </c>
      <c r="H1035" s="1" t="s">
        <v>177</v>
      </c>
      <c r="I1035" s="1" t="s">
        <v>174</v>
      </c>
      <c r="J1035" s="1" t="s">
        <v>101</v>
      </c>
      <c r="K1035" s="1" t="s">
        <v>175</v>
      </c>
      <c r="L1035" s="1">
        <v>2966663</v>
      </c>
      <c r="M1035" s="1" t="s">
        <v>346</v>
      </c>
      <c r="N1035" s="8">
        <f>DATE(2023,4,3)</f>
        <v>45019</v>
      </c>
      <c r="O1035" s="8">
        <f>DATE(2024,10,31)</f>
        <v>45596</v>
      </c>
      <c r="P1035" s="1">
        <v>1200</v>
      </c>
      <c r="Q1035" s="1">
        <v>1200</v>
      </c>
      <c r="R1035" s="1">
        <f t="shared" si="340"/>
        <v>1200</v>
      </c>
      <c r="S1035" s="1">
        <v>1</v>
      </c>
      <c r="U1035" s="1">
        <f t="shared" si="341"/>
        <v>578</v>
      </c>
      <c r="V1035" s="7">
        <f t="shared" si="342"/>
        <v>2.0761245674740483</v>
      </c>
      <c r="W1035" s="7">
        <f t="shared" si="343"/>
        <v>757.78546712802768</v>
      </c>
      <c r="X1035" s="7">
        <f t="shared" si="344"/>
        <v>0.94723183391003463</v>
      </c>
      <c r="AA1035" s="8">
        <f t="shared" si="345"/>
        <v>44927</v>
      </c>
      <c r="AB1035" s="8">
        <f t="shared" si="346"/>
        <v>45291</v>
      </c>
      <c r="AC1035" s="1">
        <v>18</v>
      </c>
      <c r="AD1035" s="1">
        <f t="shared" si="347"/>
        <v>0</v>
      </c>
      <c r="AE1035" s="1">
        <f t="shared" si="348"/>
        <v>273</v>
      </c>
      <c r="AF1035" s="1">
        <f t="shared" si="349"/>
        <v>0</v>
      </c>
      <c r="AG1035" s="1">
        <f t="shared" si="350"/>
        <v>0</v>
      </c>
      <c r="AH1035" s="1">
        <f t="shared" si="351"/>
        <v>0</v>
      </c>
      <c r="AI1035" s="5">
        <f t="shared" si="352"/>
        <v>0.74794520547945209</v>
      </c>
      <c r="AJ1035" s="5">
        <f t="shared" si="353"/>
        <v>0.70847750865051906</v>
      </c>
      <c r="AK1035" s="5">
        <f t="shared" si="354"/>
        <v>12.752595155709344</v>
      </c>
      <c r="AL1035" s="5">
        <f t="shared" si="355"/>
        <v>12.752595155709344</v>
      </c>
      <c r="AM1035" s="5">
        <f t="shared" si="356"/>
        <v>0</v>
      </c>
      <c r="AN1035" s="5">
        <f t="shared" si="357"/>
        <v>12.752595155709344</v>
      </c>
      <c r="AO1035" s="1" t="s">
        <v>122</v>
      </c>
    </row>
    <row r="1036" spans="1:41" x14ac:dyDescent="0.25">
      <c r="A1036" s="1" t="s">
        <v>19</v>
      </c>
      <c r="B1036" s="1" t="s">
        <v>48</v>
      </c>
      <c r="C1036" s="1" t="s">
        <v>21</v>
      </c>
      <c r="D1036" s="1" t="s">
        <v>49</v>
      </c>
      <c r="E1036" s="1" t="s">
        <v>172</v>
      </c>
      <c r="F1036" s="1" t="s">
        <v>103</v>
      </c>
      <c r="G1036" s="1" t="s">
        <v>114</v>
      </c>
      <c r="H1036" s="1" t="s">
        <v>173</v>
      </c>
      <c r="I1036" s="1" t="s">
        <v>174</v>
      </c>
      <c r="J1036" s="1" t="s">
        <v>101</v>
      </c>
      <c r="K1036" s="1" t="s">
        <v>175</v>
      </c>
      <c r="L1036" s="1">
        <v>2966664</v>
      </c>
      <c r="M1036" s="1" t="s">
        <v>345</v>
      </c>
      <c r="N1036" s="8">
        <f>DATE(2023,4,3)</f>
        <v>45019</v>
      </c>
      <c r="O1036" s="8">
        <f>DATE(2024,10,31)</f>
        <v>45596</v>
      </c>
      <c r="P1036" s="1">
        <v>1200</v>
      </c>
      <c r="Q1036" s="1">
        <v>1200</v>
      </c>
      <c r="R1036" s="1">
        <f t="shared" si="340"/>
        <v>1200</v>
      </c>
      <c r="S1036" s="1">
        <v>2</v>
      </c>
      <c r="U1036" s="1">
        <f t="shared" si="341"/>
        <v>578</v>
      </c>
      <c r="V1036" s="7">
        <f t="shared" si="342"/>
        <v>2.0761245674740483</v>
      </c>
      <c r="W1036" s="7">
        <f t="shared" si="343"/>
        <v>757.78546712802768</v>
      </c>
      <c r="X1036" s="7">
        <f t="shared" si="344"/>
        <v>0.94723183391003463</v>
      </c>
      <c r="AA1036" s="8">
        <f t="shared" si="345"/>
        <v>44927</v>
      </c>
      <c r="AB1036" s="8">
        <f t="shared" si="346"/>
        <v>45291</v>
      </c>
      <c r="AC1036" s="1">
        <v>13</v>
      </c>
      <c r="AD1036" s="1">
        <f t="shared" si="347"/>
        <v>0</v>
      </c>
      <c r="AE1036" s="1">
        <f t="shared" si="348"/>
        <v>273</v>
      </c>
      <c r="AF1036" s="1">
        <f t="shared" si="349"/>
        <v>0</v>
      </c>
      <c r="AG1036" s="1">
        <f t="shared" si="350"/>
        <v>0</v>
      </c>
      <c r="AH1036" s="1">
        <f t="shared" si="351"/>
        <v>0</v>
      </c>
      <c r="AI1036" s="5">
        <f t="shared" si="352"/>
        <v>0.74794520547945209</v>
      </c>
      <c r="AJ1036" s="5">
        <f t="shared" si="353"/>
        <v>0.70847750865051906</v>
      </c>
      <c r="AK1036" s="5">
        <f t="shared" si="354"/>
        <v>9.2102076124567471</v>
      </c>
      <c r="AL1036" s="5">
        <f t="shared" si="355"/>
        <v>18.420415224913494</v>
      </c>
      <c r="AM1036" s="5">
        <f t="shared" si="356"/>
        <v>0</v>
      </c>
      <c r="AN1036" s="5">
        <f t="shared" si="357"/>
        <v>18.420415224913494</v>
      </c>
      <c r="AO1036" s="1" t="s">
        <v>122</v>
      </c>
    </row>
    <row r="1037" spans="1:41" x14ac:dyDescent="0.25">
      <c r="A1037" s="1" t="s">
        <v>19</v>
      </c>
      <c r="B1037" s="1" t="s">
        <v>48</v>
      </c>
      <c r="C1037" s="1" t="s">
        <v>21</v>
      </c>
      <c r="D1037" s="1" t="s">
        <v>49</v>
      </c>
      <c r="E1037" s="1" t="s">
        <v>96</v>
      </c>
      <c r="F1037" s="1" t="s">
        <v>103</v>
      </c>
      <c r="G1037" s="1" t="s">
        <v>114</v>
      </c>
      <c r="H1037" s="1" t="s">
        <v>1170</v>
      </c>
      <c r="I1037" s="1" t="s">
        <v>210</v>
      </c>
      <c r="J1037" s="1" t="s">
        <v>101</v>
      </c>
      <c r="K1037" s="1" t="s">
        <v>175</v>
      </c>
      <c r="L1037" s="1">
        <v>3020642</v>
      </c>
      <c r="M1037" s="1" t="s">
        <v>1192</v>
      </c>
      <c r="N1037" s="8">
        <f>DATE(2023,7,26)</f>
        <v>45133</v>
      </c>
      <c r="O1037" s="8">
        <f>DATE(2025,7,4)</f>
        <v>45842</v>
      </c>
      <c r="P1037" s="1">
        <v>1309</v>
      </c>
      <c r="Q1037" s="1">
        <v>1200</v>
      </c>
      <c r="R1037" s="1">
        <f t="shared" si="340"/>
        <v>1200</v>
      </c>
      <c r="S1037" s="1">
        <v>2.5</v>
      </c>
      <c r="U1037" s="1">
        <f t="shared" si="341"/>
        <v>710</v>
      </c>
      <c r="V1037" s="7">
        <f t="shared" si="342"/>
        <v>1.6901408450704225</v>
      </c>
      <c r="W1037" s="7">
        <f t="shared" si="343"/>
        <v>616.90140845070425</v>
      </c>
      <c r="X1037" s="7">
        <f t="shared" si="344"/>
        <v>0.77112676056338036</v>
      </c>
      <c r="AA1037" s="8">
        <f t="shared" si="345"/>
        <v>44927</v>
      </c>
      <c r="AB1037" s="8">
        <f t="shared" si="346"/>
        <v>45291</v>
      </c>
      <c r="AC1037" s="1">
        <v>24</v>
      </c>
      <c r="AD1037" s="1">
        <f t="shared" si="347"/>
        <v>0</v>
      </c>
      <c r="AE1037" s="1">
        <f t="shared" si="348"/>
        <v>159</v>
      </c>
      <c r="AF1037" s="1">
        <f t="shared" si="349"/>
        <v>0</v>
      </c>
      <c r="AG1037" s="1">
        <f t="shared" si="350"/>
        <v>0</v>
      </c>
      <c r="AH1037" s="1">
        <f t="shared" si="351"/>
        <v>0</v>
      </c>
      <c r="AI1037" s="5">
        <f t="shared" si="352"/>
        <v>0.43561643835616437</v>
      </c>
      <c r="AJ1037" s="5">
        <f t="shared" si="353"/>
        <v>0.33591549295774653</v>
      </c>
      <c r="AK1037" s="5">
        <f t="shared" si="354"/>
        <v>8.0619718309859163</v>
      </c>
      <c r="AL1037" s="5">
        <f t="shared" si="355"/>
        <v>20.154929577464792</v>
      </c>
      <c r="AM1037" s="5">
        <f t="shared" si="356"/>
        <v>0</v>
      </c>
      <c r="AN1037" s="5">
        <f t="shared" si="357"/>
        <v>20.154929577464792</v>
      </c>
      <c r="AO1037" s="1" t="s">
        <v>102</v>
      </c>
    </row>
    <row r="1038" spans="1:41" x14ac:dyDescent="0.25">
      <c r="A1038" s="1" t="s">
        <v>19</v>
      </c>
      <c r="B1038" s="1" t="s">
        <v>48</v>
      </c>
      <c r="C1038" s="1" t="s">
        <v>21</v>
      </c>
      <c r="D1038" s="1" t="s">
        <v>49</v>
      </c>
      <c r="E1038" s="1" t="s">
        <v>96</v>
      </c>
      <c r="F1038" s="1" t="s">
        <v>103</v>
      </c>
      <c r="G1038" s="1" t="s">
        <v>114</v>
      </c>
      <c r="H1038" s="1" t="s">
        <v>115</v>
      </c>
      <c r="I1038" s="1" t="s">
        <v>100</v>
      </c>
      <c r="J1038" s="1" t="s">
        <v>101</v>
      </c>
      <c r="K1038" s="1" t="s">
        <v>163</v>
      </c>
      <c r="L1038" s="1">
        <v>3040971</v>
      </c>
      <c r="M1038" s="1" t="s">
        <v>1140</v>
      </c>
      <c r="N1038" s="8">
        <f>DATE(2023,9,1)</f>
        <v>45170</v>
      </c>
      <c r="O1038" s="8">
        <f>DATE(2025,12,31)</f>
        <v>46022</v>
      </c>
      <c r="P1038" s="1">
        <v>1080</v>
      </c>
      <c r="Q1038" s="1">
        <v>800</v>
      </c>
      <c r="R1038" s="1">
        <f t="shared" si="340"/>
        <v>800</v>
      </c>
      <c r="S1038" s="1">
        <v>1</v>
      </c>
      <c r="U1038" s="1">
        <f t="shared" si="341"/>
        <v>853</v>
      </c>
      <c r="V1038" s="7">
        <f t="shared" si="342"/>
        <v>0.93786635404454866</v>
      </c>
      <c r="W1038" s="7">
        <f t="shared" si="343"/>
        <v>342.32121922626027</v>
      </c>
      <c r="X1038" s="7">
        <f t="shared" si="344"/>
        <v>0.42790152403282533</v>
      </c>
      <c r="AA1038" s="8">
        <f t="shared" si="345"/>
        <v>44927</v>
      </c>
      <c r="AB1038" s="8">
        <f t="shared" si="346"/>
        <v>45291</v>
      </c>
      <c r="AC1038" s="1">
        <v>29</v>
      </c>
      <c r="AD1038" s="1">
        <f t="shared" si="347"/>
        <v>0</v>
      </c>
      <c r="AE1038" s="1">
        <f t="shared" si="348"/>
        <v>122</v>
      </c>
      <c r="AF1038" s="1">
        <f t="shared" si="349"/>
        <v>0</v>
      </c>
      <c r="AG1038" s="1">
        <f t="shared" si="350"/>
        <v>0</v>
      </c>
      <c r="AH1038" s="1">
        <f t="shared" si="351"/>
        <v>0</v>
      </c>
      <c r="AI1038" s="5">
        <f t="shared" si="352"/>
        <v>0.33424657534246577</v>
      </c>
      <c r="AJ1038" s="5">
        <f t="shared" si="353"/>
        <v>0.14302461899179367</v>
      </c>
      <c r="AK1038" s="5">
        <f t="shared" si="354"/>
        <v>4.1477139507620162</v>
      </c>
      <c r="AL1038" s="5">
        <f t="shared" si="355"/>
        <v>4.1477139507620162</v>
      </c>
      <c r="AM1038" s="5">
        <f t="shared" si="356"/>
        <v>0</v>
      </c>
      <c r="AN1038" s="5">
        <f t="shared" si="357"/>
        <v>4.1477139507620162</v>
      </c>
      <c r="AO1038" s="1" t="s">
        <v>102</v>
      </c>
    </row>
    <row r="1039" spans="1:41" x14ac:dyDescent="0.25">
      <c r="A1039" s="1" t="s">
        <v>19</v>
      </c>
      <c r="B1039" s="1" t="s">
        <v>48</v>
      </c>
      <c r="C1039" s="1" t="s">
        <v>21</v>
      </c>
      <c r="D1039" s="1" t="s">
        <v>49</v>
      </c>
      <c r="E1039" s="1" t="s">
        <v>96</v>
      </c>
      <c r="F1039" s="1" t="s">
        <v>103</v>
      </c>
      <c r="G1039" s="1" t="s">
        <v>114</v>
      </c>
      <c r="H1039" s="1" t="s">
        <v>892</v>
      </c>
      <c r="I1039" s="1" t="s">
        <v>194</v>
      </c>
      <c r="J1039" s="1" t="s">
        <v>101</v>
      </c>
      <c r="K1039" s="1" t="s">
        <v>163</v>
      </c>
      <c r="L1039" s="1">
        <v>3041277</v>
      </c>
      <c r="M1039" s="1" t="s">
        <v>1193</v>
      </c>
      <c r="N1039" s="8">
        <f>DATE(2023,9,1)</f>
        <v>45170</v>
      </c>
      <c r="O1039" s="8">
        <f>DATE(2025,12,31)</f>
        <v>46022</v>
      </c>
      <c r="P1039" s="1">
        <v>1200</v>
      </c>
      <c r="Q1039" s="1">
        <v>1200</v>
      </c>
      <c r="R1039" s="1">
        <f t="shared" si="340"/>
        <v>1200</v>
      </c>
      <c r="S1039" s="1">
        <v>2.5</v>
      </c>
      <c r="U1039" s="1">
        <f t="shared" si="341"/>
        <v>853</v>
      </c>
      <c r="V1039" s="7">
        <f t="shared" si="342"/>
        <v>1.4067995310668229</v>
      </c>
      <c r="W1039" s="7">
        <f t="shared" si="343"/>
        <v>513.48182883939035</v>
      </c>
      <c r="X1039" s="7">
        <f t="shared" si="344"/>
        <v>0.64185228604923794</v>
      </c>
      <c r="AA1039" s="8">
        <f t="shared" si="345"/>
        <v>44927</v>
      </c>
      <c r="AB1039" s="8">
        <f t="shared" si="346"/>
        <v>45291</v>
      </c>
      <c r="AC1039" s="1">
        <v>22</v>
      </c>
      <c r="AD1039" s="1">
        <f t="shared" si="347"/>
        <v>0</v>
      </c>
      <c r="AE1039" s="1">
        <f t="shared" si="348"/>
        <v>122</v>
      </c>
      <c r="AF1039" s="1">
        <f t="shared" si="349"/>
        <v>0</v>
      </c>
      <c r="AG1039" s="1">
        <f t="shared" si="350"/>
        <v>0</v>
      </c>
      <c r="AH1039" s="1">
        <f t="shared" si="351"/>
        <v>0</v>
      </c>
      <c r="AI1039" s="5">
        <f t="shared" si="352"/>
        <v>0.33424657534246577</v>
      </c>
      <c r="AJ1039" s="5">
        <f t="shared" si="353"/>
        <v>0.21453692848769049</v>
      </c>
      <c r="AK1039" s="5">
        <f t="shared" si="354"/>
        <v>4.7198124267291908</v>
      </c>
      <c r="AL1039" s="5">
        <f t="shared" si="355"/>
        <v>11.799531066822977</v>
      </c>
      <c r="AM1039" s="5">
        <f t="shared" si="356"/>
        <v>0</v>
      </c>
      <c r="AN1039" s="5">
        <f t="shared" si="357"/>
        <v>11.799531066822977</v>
      </c>
      <c r="AO1039" s="1" t="s">
        <v>102</v>
      </c>
    </row>
    <row r="1040" spans="1:41" x14ac:dyDescent="0.25">
      <c r="A1040" s="1" t="s">
        <v>19</v>
      </c>
      <c r="B1040" s="1" t="s">
        <v>48</v>
      </c>
      <c r="C1040" s="1" t="s">
        <v>21</v>
      </c>
      <c r="D1040" s="1" t="s">
        <v>49</v>
      </c>
      <c r="E1040" s="1" t="s">
        <v>96</v>
      </c>
      <c r="F1040" s="1" t="s">
        <v>103</v>
      </c>
      <c r="G1040" s="1" t="s">
        <v>155</v>
      </c>
      <c r="H1040" s="1" t="s">
        <v>1194</v>
      </c>
      <c r="I1040" s="1" t="s">
        <v>210</v>
      </c>
      <c r="J1040" s="1" t="s">
        <v>101</v>
      </c>
      <c r="L1040" s="1">
        <v>3038439</v>
      </c>
      <c r="M1040" s="1" t="s">
        <v>1195</v>
      </c>
      <c r="N1040" s="8">
        <f>DATE(2023,9,4)</f>
        <v>45173</v>
      </c>
      <c r="O1040" s="8">
        <f>DATE(2023,12,15)</f>
        <v>45275</v>
      </c>
      <c r="P1040" s="1">
        <v>160</v>
      </c>
      <c r="Q1040" s="1">
        <v>200</v>
      </c>
      <c r="R1040" s="1">
        <f t="shared" si="340"/>
        <v>160</v>
      </c>
      <c r="S1040" s="1">
        <v>1</v>
      </c>
      <c r="U1040" s="1">
        <f t="shared" si="341"/>
        <v>103</v>
      </c>
      <c r="V1040" s="7">
        <f t="shared" si="342"/>
        <v>1.5533980582524272</v>
      </c>
      <c r="W1040" s="7">
        <f t="shared" si="343"/>
        <v>160</v>
      </c>
      <c r="X1040" s="7">
        <f t="shared" si="344"/>
        <v>0.2</v>
      </c>
      <c r="AA1040" s="8">
        <f t="shared" si="345"/>
        <v>44927</v>
      </c>
      <c r="AB1040" s="8">
        <f t="shared" si="346"/>
        <v>45291</v>
      </c>
      <c r="AC1040" s="1">
        <v>9</v>
      </c>
      <c r="AD1040" s="1">
        <f t="shared" si="347"/>
        <v>0</v>
      </c>
      <c r="AE1040" s="1">
        <f t="shared" si="348"/>
        <v>0</v>
      </c>
      <c r="AF1040" s="1">
        <f t="shared" si="349"/>
        <v>0</v>
      </c>
      <c r="AG1040" s="1">
        <f t="shared" si="350"/>
        <v>103</v>
      </c>
      <c r="AH1040" s="1">
        <f t="shared" si="351"/>
        <v>0</v>
      </c>
      <c r="AI1040" s="5">
        <f t="shared" si="352"/>
        <v>1</v>
      </c>
      <c r="AJ1040" s="5">
        <f t="shared" si="353"/>
        <v>0.2</v>
      </c>
      <c r="AK1040" s="5">
        <f t="shared" si="354"/>
        <v>1.8</v>
      </c>
      <c r="AL1040" s="5">
        <f t="shared" si="355"/>
        <v>1.8</v>
      </c>
      <c r="AM1040" s="5">
        <f t="shared" si="356"/>
        <v>0</v>
      </c>
      <c r="AN1040" s="5">
        <f t="shared" si="357"/>
        <v>1.8</v>
      </c>
      <c r="AO1040" s="1" t="s">
        <v>102</v>
      </c>
    </row>
    <row r="1041" spans="1:41" x14ac:dyDescent="0.25">
      <c r="A1041" s="1" t="s">
        <v>19</v>
      </c>
      <c r="B1041" s="1" t="s">
        <v>50</v>
      </c>
      <c r="C1041" s="1" t="s">
        <v>21</v>
      </c>
      <c r="D1041" s="1" t="s">
        <v>51</v>
      </c>
      <c r="E1041" s="1" t="s">
        <v>96</v>
      </c>
      <c r="F1041" s="1" t="s">
        <v>103</v>
      </c>
      <c r="G1041" s="1" t="s">
        <v>114</v>
      </c>
      <c r="H1041" s="1" t="s">
        <v>892</v>
      </c>
      <c r="I1041" s="1" t="s">
        <v>194</v>
      </c>
      <c r="J1041" s="1" t="s">
        <v>101</v>
      </c>
      <c r="K1041" s="1" t="s">
        <v>116</v>
      </c>
      <c r="L1041" s="1">
        <v>2025098</v>
      </c>
      <c r="M1041" s="1" t="s">
        <v>1196</v>
      </c>
      <c r="N1041" s="8">
        <f>DATE(2016,4,11)</f>
        <v>42471</v>
      </c>
      <c r="O1041" s="8">
        <f>DATE(2019,4,11)</f>
        <v>43566</v>
      </c>
      <c r="P1041" s="1">
        <v>3514</v>
      </c>
      <c r="Q1041" s="1">
        <v>1200</v>
      </c>
      <c r="R1041" s="1">
        <f t="shared" si="340"/>
        <v>3200</v>
      </c>
      <c r="S1041" s="1">
        <v>2.5</v>
      </c>
      <c r="U1041" s="1">
        <f t="shared" si="341"/>
        <v>1096</v>
      </c>
      <c r="V1041" s="7">
        <f t="shared" si="342"/>
        <v>2.9197080291970803</v>
      </c>
      <c r="W1041" s="7">
        <f t="shared" si="343"/>
        <v>1065.6934306569342</v>
      </c>
      <c r="X1041" s="7">
        <f t="shared" si="344"/>
        <v>1.3321167883211678</v>
      </c>
      <c r="AA1041" s="8">
        <f t="shared" si="345"/>
        <v>44927</v>
      </c>
      <c r="AB1041" s="8">
        <f t="shared" si="346"/>
        <v>45291</v>
      </c>
      <c r="AC1041" s="1">
        <v>0</v>
      </c>
      <c r="AD1041" s="1">
        <f t="shared" si="347"/>
        <v>0</v>
      </c>
      <c r="AE1041" s="1">
        <f t="shared" si="348"/>
        <v>0</v>
      </c>
      <c r="AF1041" s="1">
        <f t="shared" si="349"/>
        <v>0</v>
      </c>
      <c r="AG1041" s="1">
        <f t="shared" si="350"/>
        <v>0</v>
      </c>
      <c r="AH1041" s="1">
        <f t="shared" si="351"/>
        <v>182.5</v>
      </c>
      <c r="AI1041" s="5">
        <f t="shared" si="352"/>
        <v>0.5</v>
      </c>
      <c r="AJ1041" s="5">
        <f t="shared" si="353"/>
        <v>0.66605839416058388</v>
      </c>
      <c r="AK1041" s="5">
        <f t="shared" si="354"/>
        <v>0</v>
      </c>
      <c r="AL1041" s="5">
        <f t="shared" si="355"/>
        <v>0</v>
      </c>
      <c r="AM1041" s="5">
        <f t="shared" si="356"/>
        <v>0</v>
      </c>
      <c r="AN1041" s="5">
        <f t="shared" si="357"/>
        <v>0</v>
      </c>
      <c r="AO1041" s="1" t="s">
        <v>102</v>
      </c>
    </row>
    <row r="1042" spans="1:41" x14ac:dyDescent="0.25">
      <c r="A1042" s="1" t="s">
        <v>19</v>
      </c>
      <c r="B1042" s="1" t="s">
        <v>50</v>
      </c>
      <c r="C1042" s="1" t="s">
        <v>21</v>
      </c>
      <c r="D1042" s="1" t="s">
        <v>51</v>
      </c>
      <c r="E1042" s="1" t="s">
        <v>96</v>
      </c>
      <c r="F1042" s="1" t="s">
        <v>103</v>
      </c>
      <c r="G1042" s="1" t="s">
        <v>127</v>
      </c>
      <c r="H1042" s="1" t="s">
        <v>1143</v>
      </c>
      <c r="I1042" s="1" t="s">
        <v>162</v>
      </c>
      <c r="J1042" s="1" t="s">
        <v>101</v>
      </c>
      <c r="L1042" s="1">
        <v>2025580</v>
      </c>
      <c r="M1042" s="1" t="s">
        <v>1197</v>
      </c>
      <c r="N1042" s="8">
        <f>DATE(2016,4,11)</f>
        <v>42471</v>
      </c>
      <c r="O1042" s="8">
        <f>DATE(2019,4,12)</f>
        <v>43567</v>
      </c>
      <c r="P1042" s="1">
        <v>2140</v>
      </c>
      <c r="Q1042" s="1">
        <v>2000</v>
      </c>
      <c r="R1042" s="1">
        <f t="shared" si="340"/>
        <v>2000</v>
      </c>
      <c r="S1042" s="1">
        <v>1.5</v>
      </c>
      <c r="U1042" s="1">
        <f t="shared" si="341"/>
        <v>1097</v>
      </c>
      <c r="V1042" s="7">
        <f t="shared" si="342"/>
        <v>1.8231540565177757</v>
      </c>
      <c r="W1042" s="7">
        <f t="shared" si="343"/>
        <v>665.45123062898813</v>
      </c>
      <c r="X1042" s="7">
        <f t="shared" si="344"/>
        <v>0.83181403828623512</v>
      </c>
      <c r="AA1042" s="8">
        <f t="shared" si="345"/>
        <v>44927</v>
      </c>
      <c r="AB1042" s="8">
        <f t="shared" si="346"/>
        <v>45291</v>
      </c>
      <c r="AC1042" s="1">
        <v>0</v>
      </c>
      <c r="AD1042" s="1">
        <f t="shared" si="347"/>
        <v>0</v>
      </c>
      <c r="AE1042" s="1">
        <f t="shared" si="348"/>
        <v>0</v>
      </c>
      <c r="AF1042" s="1">
        <f t="shared" si="349"/>
        <v>0</v>
      </c>
      <c r="AG1042" s="1">
        <f t="shared" si="350"/>
        <v>0</v>
      </c>
      <c r="AH1042" s="1">
        <f t="shared" si="351"/>
        <v>182.5</v>
      </c>
      <c r="AI1042" s="5">
        <f t="shared" si="352"/>
        <v>0.5</v>
      </c>
      <c r="AJ1042" s="5">
        <f t="shared" si="353"/>
        <v>0.41590701914311756</v>
      </c>
      <c r="AK1042" s="5">
        <f t="shared" si="354"/>
        <v>0</v>
      </c>
      <c r="AL1042" s="5">
        <f t="shared" si="355"/>
        <v>0</v>
      </c>
      <c r="AM1042" s="5">
        <f t="shared" si="356"/>
        <v>0</v>
      </c>
      <c r="AN1042" s="5">
        <f t="shared" si="357"/>
        <v>0</v>
      </c>
      <c r="AO1042" s="1" t="s">
        <v>102</v>
      </c>
    </row>
    <row r="1043" spans="1:41" x14ac:dyDescent="0.25">
      <c r="A1043" s="1" t="s">
        <v>19</v>
      </c>
      <c r="B1043" s="1" t="s">
        <v>50</v>
      </c>
      <c r="C1043" s="1" t="s">
        <v>21</v>
      </c>
      <c r="D1043" s="1" t="s">
        <v>51</v>
      </c>
      <c r="E1043" s="1" t="s">
        <v>96</v>
      </c>
      <c r="F1043" s="1" t="s">
        <v>103</v>
      </c>
      <c r="G1043" s="1" t="s">
        <v>320</v>
      </c>
      <c r="H1043" s="1" t="s">
        <v>491</v>
      </c>
      <c r="I1043" s="1" t="s">
        <v>174</v>
      </c>
      <c r="J1043" s="1" t="s">
        <v>101</v>
      </c>
      <c r="L1043" s="1">
        <v>2027480</v>
      </c>
      <c r="M1043" s="1" t="s">
        <v>1198</v>
      </c>
      <c r="N1043" s="8">
        <f>DATE(2016,4,11)</f>
        <v>42471</v>
      </c>
      <c r="O1043" s="8">
        <f>DATE(2020,4,9)</f>
        <v>43930</v>
      </c>
      <c r="P1043" s="1">
        <v>3200</v>
      </c>
      <c r="Q1043" s="1">
        <v>3200</v>
      </c>
      <c r="R1043" s="1">
        <f t="shared" si="340"/>
        <v>3200</v>
      </c>
      <c r="S1043" s="1">
        <v>2.5</v>
      </c>
      <c r="U1043" s="1">
        <f t="shared" si="341"/>
        <v>1460</v>
      </c>
      <c r="V1043" s="7">
        <f t="shared" si="342"/>
        <v>2.1917808219178081</v>
      </c>
      <c r="W1043" s="7">
        <f t="shared" si="343"/>
        <v>800</v>
      </c>
      <c r="X1043" s="7">
        <f t="shared" si="344"/>
        <v>1</v>
      </c>
      <c r="AA1043" s="8">
        <f t="shared" si="345"/>
        <v>44927</v>
      </c>
      <c r="AB1043" s="8">
        <f t="shared" si="346"/>
        <v>45291</v>
      </c>
      <c r="AC1043" s="1">
        <v>2</v>
      </c>
      <c r="AD1043" s="1">
        <f t="shared" si="347"/>
        <v>0</v>
      </c>
      <c r="AE1043" s="1">
        <f t="shared" si="348"/>
        <v>0</v>
      </c>
      <c r="AF1043" s="1">
        <f t="shared" si="349"/>
        <v>0</v>
      </c>
      <c r="AG1043" s="1">
        <f t="shared" si="350"/>
        <v>0</v>
      </c>
      <c r="AH1043" s="1">
        <f t="shared" si="351"/>
        <v>182.5</v>
      </c>
      <c r="AI1043" s="5">
        <f t="shared" si="352"/>
        <v>0.5</v>
      </c>
      <c r="AJ1043" s="5">
        <f t="shared" si="353"/>
        <v>0.5</v>
      </c>
      <c r="AK1043" s="5">
        <f t="shared" si="354"/>
        <v>0.5</v>
      </c>
      <c r="AL1043" s="5">
        <f t="shared" si="355"/>
        <v>1.25</v>
      </c>
      <c r="AM1043" s="5">
        <f t="shared" si="356"/>
        <v>0</v>
      </c>
      <c r="AN1043" s="5">
        <f t="shared" si="357"/>
        <v>1.25</v>
      </c>
      <c r="AO1043" s="1" t="s">
        <v>102</v>
      </c>
    </row>
    <row r="1044" spans="1:41" x14ac:dyDescent="0.25">
      <c r="A1044" s="1" t="s">
        <v>19</v>
      </c>
      <c r="B1044" s="1" t="s">
        <v>50</v>
      </c>
      <c r="C1044" s="1" t="s">
        <v>21</v>
      </c>
      <c r="D1044" s="1" t="s">
        <v>51</v>
      </c>
      <c r="E1044" s="1" t="s">
        <v>96</v>
      </c>
      <c r="F1044" s="1" t="s">
        <v>103</v>
      </c>
      <c r="G1044" s="1" t="s">
        <v>114</v>
      </c>
      <c r="H1044" s="1" t="s">
        <v>260</v>
      </c>
      <c r="I1044" s="1" t="s">
        <v>100</v>
      </c>
      <c r="J1044" s="1" t="s">
        <v>101</v>
      </c>
      <c r="K1044" s="1" t="s">
        <v>116</v>
      </c>
      <c r="L1044" s="1">
        <v>2163603</v>
      </c>
      <c r="M1044" s="1" t="s">
        <v>1199</v>
      </c>
      <c r="N1044" s="8">
        <f>DATE(2017,4,17)</f>
        <v>42842</v>
      </c>
      <c r="O1044" s="8">
        <f>DATE(2020,4,17)</f>
        <v>43938</v>
      </c>
      <c r="P1044" s="1">
        <v>3186</v>
      </c>
      <c r="Q1044" s="1">
        <v>800</v>
      </c>
      <c r="R1044" s="1">
        <f t="shared" si="340"/>
        <v>3000</v>
      </c>
      <c r="S1044" s="1">
        <v>1.5</v>
      </c>
      <c r="U1044" s="1">
        <f t="shared" si="341"/>
        <v>1097</v>
      </c>
      <c r="V1044" s="7">
        <f t="shared" si="342"/>
        <v>2.7347310847766635</v>
      </c>
      <c r="W1044" s="7">
        <f t="shared" si="343"/>
        <v>998.17684594348214</v>
      </c>
      <c r="X1044" s="7">
        <f t="shared" si="344"/>
        <v>1.2477210574293527</v>
      </c>
      <c r="AA1044" s="8">
        <f t="shared" si="345"/>
        <v>44927</v>
      </c>
      <c r="AB1044" s="8">
        <f t="shared" si="346"/>
        <v>45291</v>
      </c>
      <c r="AC1044" s="1">
        <v>1</v>
      </c>
      <c r="AD1044" s="1">
        <f t="shared" si="347"/>
        <v>0</v>
      </c>
      <c r="AE1044" s="1">
        <f t="shared" si="348"/>
        <v>0</v>
      </c>
      <c r="AF1044" s="1">
        <f t="shared" si="349"/>
        <v>0</v>
      </c>
      <c r="AG1044" s="1">
        <f t="shared" si="350"/>
        <v>0</v>
      </c>
      <c r="AH1044" s="1">
        <f t="shared" si="351"/>
        <v>182.5</v>
      </c>
      <c r="AI1044" s="5">
        <f t="shared" si="352"/>
        <v>0.5</v>
      </c>
      <c r="AJ1044" s="5">
        <f t="shared" si="353"/>
        <v>0.62386052871467634</v>
      </c>
      <c r="AK1044" s="5">
        <f t="shared" si="354"/>
        <v>0.31193026435733817</v>
      </c>
      <c r="AL1044" s="5">
        <f t="shared" si="355"/>
        <v>0.46789539653600726</v>
      </c>
      <c r="AM1044" s="5">
        <f t="shared" si="356"/>
        <v>0</v>
      </c>
      <c r="AN1044" s="5">
        <f t="shared" si="357"/>
        <v>0.46789539653600726</v>
      </c>
      <c r="AO1044" s="1" t="s">
        <v>102</v>
      </c>
    </row>
    <row r="1045" spans="1:41" x14ac:dyDescent="0.25">
      <c r="A1045" s="1" t="s">
        <v>19</v>
      </c>
      <c r="B1045" s="1" t="s">
        <v>50</v>
      </c>
      <c r="C1045" s="1" t="s">
        <v>21</v>
      </c>
      <c r="D1045" s="1" t="s">
        <v>51</v>
      </c>
      <c r="E1045" s="1" t="s">
        <v>96</v>
      </c>
      <c r="F1045" s="1" t="s">
        <v>103</v>
      </c>
      <c r="G1045" s="1" t="s">
        <v>320</v>
      </c>
      <c r="H1045" s="1" t="s">
        <v>491</v>
      </c>
      <c r="I1045" s="1" t="s">
        <v>174</v>
      </c>
      <c r="J1045" s="1" t="s">
        <v>101</v>
      </c>
      <c r="L1045" s="1">
        <v>2165438</v>
      </c>
      <c r="M1045" s="1" t="s">
        <v>1200</v>
      </c>
      <c r="N1045" s="8">
        <f>DATE(2017,5,15)</f>
        <v>42870</v>
      </c>
      <c r="O1045" s="8">
        <f>DATE(2021,5,13)</f>
        <v>44329</v>
      </c>
      <c r="P1045" s="1">
        <v>3200</v>
      </c>
      <c r="Q1045" s="1">
        <v>3200</v>
      </c>
      <c r="R1045" s="1">
        <f t="shared" si="340"/>
        <v>3200</v>
      </c>
      <c r="S1045" s="1">
        <v>2.5</v>
      </c>
      <c r="U1045" s="1">
        <f t="shared" si="341"/>
        <v>1460</v>
      </c>
      <c r="V1045" s="7">
        <f t="shared" si="342"/>
        <v>2.1917808219178081</v>
      </c>
      <c r="W1045" s="7">
        <f t="shared" si="343"/>
        <v>800</v>
      </c>
      <c r="X1045" s="7">
        <f t="shared" si="344"/>
        <v>1</v>
      </c>
      <c r="AA1045" s="8">
        <f t="shared" si="345"/>
        <v>44927</v>
      </c>
      <c r="AB1045" s="8">
        <f t="shared" si="346"/>
        <v>45291</v>
      </c>
      <c r="AC1045" s="1">
        <v>7</v>
      </c>
      <c r="AD1045" s="1">
        <f t="shared" si="347"/>
        <v>0</v>
      </c>
      <c r="AE1045" s="1">
        <f t="shared" si="348"/>
        <v>0</v>
      </c>
      <c r="AF1045" s="1">
        <f t="shared" si="349"/>
        <v>0</v>
      </c>
      <c r="AG1045" s="1">
        <f t="shared" si="350"/>
        <v>0</v>
      </c>
      <c r="AH1045" s="1">
        <f t="shared" si="351"/>
        <v>182.5</v>
      </c>
      <c r="AI1045" s="5">
        <f t="shared" si="352"/>
        <v>0.5</v>
      </c>
      <c r="AJ1045" s="5">
        <f t="shared" si="353"/>
        <v>0.5</v>
      </c>
      <c r="AK1045" s="5">
        <f t="shared" si="354"/>
        <v>1.75</v>
      </c>
      <c r="AL1045" s="5">
        <f t="shared" si="355"/>
        <v>4.375</v>
      </c>
      <c r="AM1045" s="5">
        <f t="shared" si="356"/>
        <v>0</v>
      </c>
      <c r="AN1045" s="5">
        <f t="shared" si="357"/>
        <v>4.375</v>
      </c>
      <c r="AO1045" s="1" t="s">
        <v>102</v>
      </c>
    </row>
    <row r="1046" spans="1:41" x14ac:dyDescent="0.25">
      <c r="A1046" s="1" t="s">
        <v>19</v>
      </c>
      <c r="B1046" s="1" t="s">
        <v>50</v>
      </c>
      <c r="C1046" s="1" t="s">
        <v>21</v>
      </c>
      <c r="D1046" s="1" t="s">
        <v>51</v>
      </c>
      <c r="E1046" s="1" t="s">
        <v>96</v>
      </c>
      <c r="F1046" s="1" t="s">
        <v>103</v>
      </c>
      <c r="G1046" s="1" t="s">
        <v>127</v>
      </c>
      <c r="H1046" s="1" t="s">
        <v>1143</v>
      </c>
      <c r="I1046" s="1" t="s">
        <v>162</v>
      </c>
      <c r="J1046" s="1" t="s">
        <v>101</v>
      </c>
      <c r="L1046" s="1">
        <v>2165711</v>
      </c>
      <c r="M1046" s="1" t="s">
        <v>1201</v>
      </c>
      <c r="N1046" s="8">
        <f>DATE(2017,5,15)</f>
        <v>42870</v>
      </c>
      <c r="O1046" s="8">
        <f>DATE(2020,5,15)</f>
        <v>43966</v>
      </c>
      <c r="P1046" s="1">
        <v>2140</v>
      </c>
      <c r="Q1046" s="1">
        <v>2000</v>
      </c>
      <c r="R1046" s="1">
        <f t="shared" si="340"/>
        <v>2000</v>
      </c>
      <c r="S1046" s="1">
        <v>1.5</v>
      </c>
      <c r="U1046" s="1">
        <f t="shared" si="341"/>
        <v>1097</v>
      </c>
      <c r="V1046" s="7">
        <f t="shared" si="342"/>
        <v>1.8231540565177757</v>
      </c>
      <c r="W1046" s="7">
        <f t="shared" si="343"/>
        <v>665.45123062898813</v>
      </c>
      <c r="X1046" s="7">
        <f t="shared" si="344"/>
        <v>0.83181403828623512</v>
      </c>
      <c r="AA1046" s="8">
        <f t="shared" si="345"/>
        <v>44927</v>
      </c>
      <c r="AB1046" s="8">
        <f t="shared" si="346"/>
        <v>45291</v>
      </c>
      <c r="AC1046" s="1">
        <v>8</v>
      </c>
      <c r="AD1046" s="1">
        <f t="shared" si="347"/>
        <v>0</v>
      </c>
      <c r="AE1046" s="1">
        <f t="shared" si="348"/>
        <v>0</v>
      </c>
      <c r="AF1046" s="1">
        <f t="shared" si="349"/>
        <v>0</v>
      </c>
      <c r="AG1046" s="1">
        <f t="shared" si="350"/>
        <v>0</v>
      </c>
      <c r="AH1046" s="1">
        <f t="shared" si="351"/>
        <v>182.5</v>
      </c>
      <c r="AI1046" s="5">
        <f t="shared" si="352"/>
        <v>0.5</v>
      </c>
      <c r="AJ1046" s="5">
        <f t="shared" si="353"/>
        <v>0.41590701914311756</v>
      </c>
      <c r="AK1046" s="5">
        <f t="shared" si="354"/>
        <v>1.6636280765724702</v>
      </c>
      <c r="AL1046" s="5">
        <f t="shared" si="355"/>
        <v>2.4954421148587054</v>
      </c>
      <c r="AM1046" s="5">
        <f t="shared" si="356"/>
        <v>0</v>
      </c>
      <c r="AN1046" s="5">
        <f t="shared" si="357"/>
        <v>2.4954421148587054</v>
      </c>
      <c r="AO1046" s="1" t="s">
        <v>102</v>
      </c>
    </row>
    <row r="1047" spans="1:41" x14ac:dyDescent="0.25">
      <c r="A1047" s="1" t="s">
        <v>19</v>
      </c>
      <c r="B1047" s="1" t="s">
        <v>50</v>
      </c>
      <c r="C1047" s="1" t="s">
        <v>21</v>
      </c>
      <c r="D1047" s="1" t="s">
        <v>51</v>
      </c>
      <c r="E1047" s="1" t="s">
        <v>96</v>
      </c>
      <c r="F1047" s="1" t="s">
        <v>103</v>
      </c>
      <c r="G1047" s="1" t="s">
        <v>114</v>
      </c>
      <c r="H1047" s="1" t="s">
        <v>892</v>
      </c>
      <c r="I1047" s="1" t="s">
        <v>194</v>
      </c>
      <c r="J1047" s="1" t="s">
        <v>101</v>
      </c>
      <c r="K1047" s="1" t="s">
        <v>116</v>
      </c>
      <c r="L1047" s="1">
        <v>2502569</v>
      </c>
      <c r="M1047" s="1" t="s">
        <v>1202</v>
      </c>
      <c r="N1047" s="8">
        <f>DATE(2018,4,9)</f>
        <v>43199</v>
      </c>
      <c r="O1047" s="8">
        <f>DATE(2021,4,9)</f>
        <v>44295</v>
      </c>
      <c r="P1047" s="1">
        <v>3424</v>
      </c>
      <c r="Q1047" s="1">
        <v>1200</v>
      </c>
      <c r="R1047" s="1">
        <f t="shared" si="340"/>
        <v>3200</v>
      </c>
      <c r="S1047" s="1">
        <v>2.5</v>
      </c>
      <c r="U1047" s="1">
        <f t="shared" si="341"/>
        <v>1097</v>
      </c>
      <c r="V1047" s="7">
        <f t="shared" si="342"/>
        <v>2.917046490428441</v>
      </c>
      <c r="W1047" s="7">
        <f t="shared" si="343"/>
        <v>1064.721969006381</v>
      </c>
      <c r="X1047" s="7">
        <f t="shared" si="344"/>
        <v>1.3309024612579763</v>
      </c>
      <c r="AA1047" s="8">
        <f t="shared" si="345"/>
        <v>44927</v>
      </c>
      <c r="AB1047" s="8">
        <f t="shared" si="346"/>
        <v>45291</v>
      </c>
      <c r="AC1047" s="1">
        <v>1</v>
      </c>
      <c r="AD1047" s="1">
        <f t="shared" si="347"/>
        <v>0</v>
      </c>
      <c r="AE1047" s="1">
        <f t="shared" si="348"/>
        <v>0</v>
      </c>
      <c r="AF1047" s="1">
        <f t="shared" si="349"/>
        <v>0</v>
      </c>
      <c r="AG1047" s="1">
        <f t="shared" si="350"/>
        <v>0</v>
      </c>
      <c r="AH1047" s="1">
        <f t="shared" si="351"/>
        <v>182.5</v>
      </c>
      <c r="AI1047" s="5">
        <f t="shared" si="352"/>
        <v>0.5</v>
      </c>
      <c r="AJ1047" s="5">
        <f t="shared" si="353"/>
        <v>0.66545123062898814</v>
      </c>
      <c r="AK1047" s="5">
        <f t="shared" si="354"/>
        <v>0.33272561531449407</v>
      </c>
      <c r="AL1047" s="5">
        <f t="shared" si="355"/>
        <v>0.83181403828623512</v>
      </c>
      <c r="AM1047" s="5">
        <f t="shared" si="356"/>
        <v>0</v>
      </c>
      <c r="AN1047" s="5">
        <f t="shared" si="357"/>
        <v>0.83181403828623512</v>
      </c>
      <c r="AO1047" s="1" t="s">
        <v>102</v>
      </c>
    </row>
    <row r="1048" spans="1:41" x14ac:dyDescent="0.25">
      <c r="A1048" s="1" t="s">
        <v>19</v>
      </c>
      <c r="B1048" s="1" t="s">
        <v>50</v>
      </c>
      <c r="C1048" s="1" t="s">
        <v>21</v>
      </c>
      <c r="D1048" s="1" t="s">
        <v>51</v>
      </c>
      <c r="E1048" s="1" t="s">
        <v>96</v>
      </c>
      <c r="F1048" s="1" t="s">
        <v>103</v>
      </c>
      <c r="G1048" s="1" t="s">
        <v>127</v>
      </c>
      <c r="H1048" s="1" t="s">
        <v>1143</v>
      </c>
      <c r="I1048" s="1" t="s">
        <v>162</v>
      </c>
      <c r="J1048" s="1" t="s">
        <v>101</v>
      </c>
      <c r="L1048" s="1">
        <v>2513923</v>
      </c>
      <c r="M1048" s="1" t="s">
        <v>1203</v>
      </c>
      <c r="N1048" s="8">
        <f>DATE(2018,5,14)</f>
        <v>43234</v>
      </c>
      <c r="O1048" s="8">
        <f>DATE(2021,5,14)</f>
        <v>44330</v>
      </c>
      <c r="P1048" s="1">
        <v>2140</v>
      </c>
      <c r="Q1048" s="1">
        <v>2000</v>
      </c>
      <c r="R1048" s="1">
        <f t="shared" si="340"/>
        <v>2000</v>
      </c>
      <c r="S1048" s="1">
        <v>1.5</v>
      </c>
      <c r="U1048" s="1">
        <f t="shared" si="341"/>
        <v>1097</v>
      </c>
      <c r="V1048" s="7">
        <f t="shared" si="342"/>
        <v>1.8231540565177757</v>
      </c>
      <c r="W1048" s="7">
        <f t="shared" si="343"/>
        <v>665.45123062898813</v>
      </c>
      <c r="X1048" s="7">
        <f t="shared" si="344"/>
        <v>0.83181403828623512</v>
      </c>
      <c r="AA1048" s="8">
        <f t="shared" si="345"/>
        <v>44927</v>
      </c>
      <c r="AB1048" s="8">
        <f t="shared" si="346"/>
        <v>45291</v>
      </c>
      <c r="AC1048" s="1">
        <v>9</v>
      </c>
      <c r="AD1048" s="1">
        <f t="shared" si="347"/>
        <v>0</v>
      </c>
      <c r="AE1048" s="1">
        <f t="shared" si="348"/>
        <v>0</v>
      </c>
      <c r="AF1048" s="1">
        <f t="shared" si="349"/>
        <v>0</v>
      </c>
      <c r="AG1048" s="1">
        <f t="shared" si="350"/>
        <v>0</v>
      </c>
      <c r="AH1048" s="1">
        <f t="shared" si="351"/>
        <v>182.5</v>
      </c>
      <c r="AI1048" s="5">
        <f t="shared" si="352"/>
        <v>0.5</v>
      </c>
      <c r="AJ1048" s="5">
        <f t="shared" si="353"/>
        <v>0.41590701914311756</v>
      </c>
      <c r="AK1048" s="5">
        <f t="shared" si="354"/>
        <v>1.871581586144029</v>
      </c>
      <c r="AL1048" s="5">
        <f t="shared" si="355"/>
        <v>2.8073723792160434</v>
      </c>
      <c r="AM1048" s="5">
        <f t="shared" si="356"/>
        <v>0</v>
      </c>
      <c r="AN1048" s="5">
        <f t="shared" si="357"/>
        <v>2.8073723792160434</v>
      </c>
      <c r="AO1048" s="1" t="s">
        <v>102</v>
      </c>
    </row>
    <row r="1049" spans="1:41" x14ac:dyDescent="0.25">
      <c r="A1049" s="1" t="s">
        <v>19</v>
      </c>
      <c r="B1049" s="1" t="s">
        <v>50</v>
      </c>
      <c r="C1049" s="1" t="s">
        <v>21</v>
      </c>
      <c r="D1049" s="1" t="s">
        <v>51</v>
      </c>
      <c r="E1049" s="1" t="s">
        <v>96</v>
      </c>
      <c r="F1049" s="1" t="s">
        <v>103</v>
      </c>
      <c r="G1049" s="1" t="s">
        <v>320</v>
      </c>
      <c r="H1049" s="1" t="s">
        <v>491</v>
      </c>
      <c r="I1049" s="1" t="s">
        <v>174</v>
      </c>
      <c r="J1049" s="1" t="s">
        <v>101</v>
      </c>
      <c r="L1049" s="1">
        <v>2513924</v>
      </c>
      <c r="M1049" s="1" t="s">
        <v>1204</v>
      </c>
      <c r="N1049" s="8">
        <f>DATE(2018,5,14)</f>
        <v>43234</v>
      </c>
      <c r="O1049" s="8">
        <f>DATE(2022,5,12)</f>
        <v>44693</v>
      </c>
      <c r="P1049" s="1">
        <v>3200</v>
      </c>
      <c r="Q1049" s="1">
        <v>3200</v>
      </c>
      <c r="R1049" s="1">
        <f t="shared" si="340"/>
        <v>3200</v>
      </c>
      <c r="S1049" s="1">
        <v>2.5</v>
      </c>
      <c r="U1049" s="1">
        <f t="shared" si="341"/>
        <v>1460</v>
      </c>
      <c r="V1049" s="7">
        <f t="shared" si="342"/>
        <v>2.1917808219178081</v>
      </c>
      <c r="W1049" s="7">
        <f t="shared" si="343"/>
        <v>800</v>
      </c>
      <c r="X1049" s="7">
        <f t="shared" si="344"/>
        <v>1</v>
      </c>
      <c r="AA1049" s="8">
        <f t="shared" si="345"/>
        <v>44927</v>
      </c>
      <c r="AB1049" s="8">
        <f t="shared" si="346"/>
        <v>45291</v>
      </c>
      <c r="AC1049" s="1">
        <v>6</v>
      </c>
      <c r="AD1049" s="1">
        <f t="shared" si="347"/>
        <v>0</v>
      </c>
      <c r="AE1049" s="1">
        <f t="shared" si="348"/>
        <v>0</v>
      </c>
      <c r="AF1049" s="1">
        <f t="shared" si="349"/>
        <v>0</v>
      </c>
      <c r="AG1049" s="1">
        <f t="shared" si="350"/>
        <v>0</v>
      </c>
      <c r="AH1049" s="1">
        <f t="shared" si="351"/>
        <v>182.5</v>
      </c>
      <c r="AI1049" s="5">
        <f t="shared" si="352"/>
        <v>0.5</v>
      </c>
      <c r="AJ1049" s="5">
        <f t="shared" si="353"/>
        <v>0.5</v>
      </c>
      <c r="AK1049" s="5">
        <f t="shared" si="354"/>
        <v>1.5</v>
      </c>
      <c r="AL1049" s="5">
        <f t="shared" si="355"/>
        <v>3.75</v>
      </c>
      <c r="AM1049" s="5">
        <f t="shared" si="356"/>
        <v>0</v>
      </c>
      <c r="AN1049" s="5">
        <f t="shared" si="357"/>
        <v>3.75</v>
      </c>
      <c r="AO1049" s="1" t="s">
        <v>102</v>
      </c>
    </row>
    <row r="1050" spans="1:41" x14ac:dyDescent="0.25">
      <c r="A1050" s="1" t="s">
        <v>19</v>
      </c>
      <c r="B1050" s="1" t="s">
        <v>50</v>
      </c>
      <c r="C1050" s="1" t="s">
        <v>21</v>
      </c>
      <c r="D1050" s="1" t="s">
        <v>51</v>
      </c>
      <c r="E1050" s="1" t="s">
        <v>96</v>
      </c>
      <c r="F1050" s="1" t="s">
        <v>103</v>
      </c>
      <c r="G1050" s="1" t="s">
        <v>114</v>
      </c>
      <c r="H1050" s="1" t="s">
        <v>115</v>
      </c>
      <c r="I1050" s="1" t="s">
        <v>100</v>
      </c>
      <c r="J1050" s="1" t="s">
        <v>101</v>
      </c>
      <c r="K1050" s="1" t="s">
        <v>382</v>
      </c>
      <c r="L1050" s="1">
        <v>2513133</v>
      </c>
      <c r="M1050" s="1" t="s">
        <v>1205</v>
      </c>
      <c r="N1050" s="8">
        <f>DATE(2018,6,4)</f>
        <v>43255</v>
      </c>
      <c r="O1050" s="8">
        <f>DATE(2021,6,4)</f>
        <v>44351</v>
      </c>
      <c r="P1050" s="1">
        <v>2444</v>
      </c>
      <c r="Q1050" s="1">
        <v>800</v>
      </c>
      <c r="R1050" s="1">
        <f t="shared" si="340"/>
        <v>2400</v>
      </c>
      <c r="S1050" s="1">
        <v>2.5</v>
      </c>
      <c r="U1050" s="1">
        <f t="shared" si="341"/>
        <v>1097</v>
      </c>
      <c r="V1050" s="7">
        <f t="shared" si="342"/>
        <v>2.187784867821331</v>
      </c>
      <c r="W1050" s="7">
        <f t="shared" si="343"/>
        <v>798.54147675478578</v>
      </c>
      <c r="X1050" s="7">
        <f t="shared" si="344"/>
        <v>0.99817684594348222</v>
      </c>
      <c r="AA1050" s="8">
        <f t="shared" si="345"/>
        <v>44927</v>
      </c>
      <c r="AB1050" s="8">
        <f t="shared" si="346"/>
        <v>45291</v>
      </c>
      <c r="AC1050" s="1">
        <v>3</v>
      </c>
      <c r="AD1050" s="1">
        <f t="shared" si="347"/>
        <v>0</v>
      </c>
      <c r="AE1050" s="1">
        <f t="shared" si="348"/>
        <v>0</v>
      </c>
      <c r="AF1050" s="1">
        <f t="shared" si="349"/>
        <v>0</v>
      </c>
      <c r="AG1050" s="1">
        <f t="shared" si="350"/>
        <v>0</v>
      </c>
      <c r="AH1050" s="1">
        <f t="shared" si="351"/>
        <v>182.5</v>
      </c>
      <c r="AI1050" s="5">
        <f t="shared" si="352"/>
        <v>0.5</v>
      </c>
      <c r="AJ1050" s="5">
        <f t="shared" si="353"/>
        <v>0.49908842297174111</v>
      </c>
      <c r="AK1050" s="5">
        <f t="shared" si="354"/>
        <v>0.74863263445761163</v>
      </c>
      <c r="AL1050" s="5">
        <f t="shared" si="355"/>
        <v>1.871581586144029</v>
      </c>
      <c r="AM1050" s="5">
        <f t="shared" si="356"/>
        <v>0</v>
      </c>
      <c r="AN1050" s="5">
        <f t="shared" si="357"/>
        <v>1.871581586144029</v>
      </c>
      <c r="AO1050" s="1" t="s">
        <v>102</v>
      </c>
    </row>
    <row r="1051" spans="1:41" x14ac:dyDescent="0.25">
      <c r="A1051" s="1" t="s">
        <v>19</v>
      </c>
      <c r="B1051" s="1" t="s">
        <v>50</v>
      </c>
      <c r="C1051" s="1" t="s">
        <v>21</v>
      </c>
      <c r="D1051" s="1" t="s">
        <v>51</v>
      </c>
      <c r="E1051" s="1" t="s">
        <v>96</v>
      </c>
      <c r="F1051" s="1" t="s">
        <v>103</v>
      </c>
      <c r="G1051" s="1" t="s">
        <v>114</v>
      </c>
      <c r="H1051" s="1" t="s">
        <v>254</v>
      </c>
      <c r="I1051" s="1" t="s">
        <v>255</v>
      </c>
      <c r="J1051" s="1" t="s">
        <v>101</v>
      </c>
      <c r="K1051" s="1" t="s">
        <v>116</v>
      </c>
      <c r="L1051" s="1">
        <v>2597031</v>
      </c>
      <c r="M1051" s="1" t="s">
        <v>1206</v>
      </c>
      <c r="N1051" s="8">
        <f t="shared" ref="N1051:N1058" si="360">DATE(2019,3,7)</f>
        <v>43531</v>
      </c>
      <c r="O1051" s="8">
        <f>DATE(2022,3,7)</f>
        <v>44627</v>
      </c>
      <c r="P1051" s="1">
        <v>3424</v>
      </c>
      <c r="Q1051" s="1">
        <v>1200</v>
      </c>
      <c r="R1051" s="1">
        <f t="shared" si="340"/>
        <v>3200</v>
      </c>
      <c r="S1051" s="1">
        <v>2.5</v>
      </c>
      <c r="U1051" s="1">
        <f t="shared" si="341"/>
        <v>1097</v>
      </c>
      <c r="V1051" s="7">
        <f t="shared" si="342"/>
        <v>2.917046490428441</v>
      </c>
      <c r="W1051" s="7">
        <f t="shared" si="343"/>
        <v>1064.721969006381</v>
      </c>
      <c r="X1051" s="7">
        <f t="shared" si="344"/>
        <v>1.3309024612579763</v>
      </c>
      <c r="AA1051" s="8">
        <f t="shared" si="345"/>
        <v>44927</v>
      </c>
      <c r="AB1051" s="8">
        <f t="shared" si="346"/>
        <v>45291</v>
      </c>
      <c r="AC1051" s="1">
        <v>2</v>
      </c>
      <c r="AD1051" s="1">
        <f t="shared" si="347"/>
        <v>0</v>
      </c>
      <c r="AE1051" s="1">
        <f t="shared" si="348"/>
        <v>0</v>
      </c>
      <c r="AF1051" s="1">
        <f t="shared" si="349"/>
        <v>0</v>
      </c>
      <c r="AG1051" s="1">
        <f t="shared" si="350"/>
        <v>0</v>
      </c>
      <c r="AH1051" s="1">
        <f t="shared" si="351"/>
        <v>182.5</v>
      </c>
      <c r="AI1051" s="5">
        <f t="shared" si="352"/>
        <v>0.5</v>
      </c>
      <c r="AJ1051" s="5">
        <f t="shared" si="353"/>
        <v>0.66545123062898814</v>
      </c>
      <c r="AK1051" s="5">
        <f t="shared" si="354"/>
        <v>0.66545123062898814</v>
      </c>
      <c r="AL1051" s="5">
        <f t="shared" si="355"/>
        <v>1.6636280765724702</v>
      </c>
      <c r="AM1051" s="5">
        <f t="shared" si="356"/>
        <v>0</v>
      </c>
      <c r="AN1051" s="5">
        <f t="shared" si="357"/>
        <v>1.6636280765724702</v>
      </c>
      <c r="AO1051" s="1" t="s">
        <v>102</v>
      </c>
    </row>
    <row r="1052" spans="1:41" x14ac:dyDescent="0.25">
      <c r="A1052" s="1" t="s">
        <v>19</v>
      </c>
      <c r="B1052" s="1" t="s">
        <v>50</v>
      </c>
      <c r="C1052" s="1" t="s">
        <v>21</v>
      </c>
      <c r="D1052" s="1" t="s">
        <v>51</v>
      </c>
      <c r="E1052" s="1" t="s">
        <v>96</v>
      </c>
      <c r="F1052" s="1" t="s">
        <v>103</v>
      </c>
      <c r="G1052" s="1" t="s">
        <v>114</v>
      </c>
      <c r="H1052" s="1" t="s">
        <v>247</v>
      </c>
      <c r="I1052" s="1" t="s">
        <v>162</v>
      </c>
      <c r="J1052" s="1" t="s">
        <v>101</v>
      </c>
      <c r="K1052" s="1" t="s">
        <v>116</v>
      </c>
      <c r="L1052" s="1">
        <v>2597037</v>
      </c>
      <c r="M1052" s="1" t="s">
        <v>1207</v>
      </c>
      <c r="N1052" s="8">
        <f t="shared" si="360"/>
        <v>43531</v>
      </c>
      <c r="O1052" s="8">
        <f>DATE(2022,3,7)</f>
        <v>44627</v>
      </c>
      <c r="P1052" s="1">
        <v>3832</v>
      </c>
      <c r="Q1052" s="1">
        <v>1200</v>
      </c>
      <c r="R1052" s="1">
        <f t="shared" si="340"/>
        <v>3200</v>
      </c>
      <c r="S1052" s="1">
        <v>1.5</v>
      </c>
      <c r="U1052" s="1">
        <f t="shared" si="341"/>
        <v>1097</v>
      </c>
      <c r="V1052" s="7">
        <f t="shared" si="342"/>
        <v>2.917046490428441</v>
      </c>
      <c r="W1052" s="7">
        <f t="shared" si="343"/>
        <v>1064.721969006381</v>
      </c>
      <c r="X1052" s="7">
        <f t="shared" si="344"/>
        <v>1.3309024612579763</v>
      </c>
      <c r="AA1052" s="8">
        <f t="shared" si="345"/>
        <v>44927</v>
      </c>
      <c r="AB1052" s="8">
        <f t="shared" si="346"/>
        <v>45291</v>
      </c>
      <c r="AC1052" s="1">
        <v>1</v>
      </c>
      <c r="AD1052" s="1">
        <f t="shared" si="347"/>
        <v>0</v>
      </c>
      <c r="AE1052" s="1">
        <f t="shared" si="348"/>
        <v>0</v>
      </c>
      <c r="AF1052" s="1">
        <f t="shared" si="349"/>
        <v>0</v>
      </c>
      <c r="AG1052" s="1">
        <f t="shared" si="350"/>
        <v>0</v>
      </c>
      <c r="AH1052" s="1">
        <f t="shared" si="351"/>
        <v>182.5</v>
      </c>
      <c r="AI1052" s="5">
        <f t="shared" si="352"/>
        <v>0.5</v>
      </c>
      <c r="AJ1052" s="5">
        <f t="shared" si="353"/>
        <v>0.66545123062898814</v>
      </c>
      <c r="AK1052" s="5">
        <f t="shared" si="354"/>
        <v>0.33272561531449407</v>
      </c>
      <c r="AL1052" s="5">
        <f t="shared" si="355"/>
        <v>0.49908842297174111</v>
      </c>
      <c r="AM1052" s="5">
        <f t="shared" si="356"/>
        <v>0</v>
      </c>
      <c r="AN1052" s="5">
        <f t="shared" si="357"/>
        <v>0.49908842297174111</v>
      </c>
      <c r="AO1052" s="1" t="s">
        <v>102</v>
      </c>
    </row>
    <row r="1053" spans="1:41" x14ac:dyDescent="0.25">
      <c r="A1053" s="1" t="s">
        <v>19</v>
      </c>
      <c r="B1053" s="1" t="s">
        <v>50</v>
      </c>
      <c r="C1053" s="1" t="s">
        <v>21</v>
      </c>
      <c r="D1053" s="1" t="s">
        <v>51</v>
      </c>
      <c r="E1053" s="1" t="s">
        <v>96</v>
      </c>
      <c r="F1053" s="1" t="s">
        <v>103</v>
      </c>
      <c r="G1053" s="1" t="s">
        <v>114</v>
      </c>
      <c r="H1053" s="1" t="s">
        <v>892</v>
      </c>
      <c r="I1053" s="1" t="s">
        <v>194</v>
      </c>
      <c r="J1053" s="1" t="s">
        <v>101</v>
      </c>
      <c r="K1053" s="1" t="s">
        <v>116</v>
      </c>
      <c r="L1053" s="1">
        <v>2597038</v>
      </c>
      <c r="M1053" s="1" t="s">
        <v>1208</v>
      </c>
      <c r="N1053" s="8">
        <f t="shared" si="360"/>
        <v>43531</v>
      </c>
      <c r="O1053" s="8">
        <f>DATE(2022,3,7)</f>
        <v>44627</v>
      </c>
      <c r="P1053" s="1">
        <v>3424</v>
      </c>
      <c r="Q1053" s="1">
        <v>1200</v>
      </c>
      <c r="R1053" s="1">
        <f t="shared" si="340"/>
        <v>3200</v>
      </c>
      <c r="S1053" s="1">
        <v>2.5</v>
      </c>
      <c r="U1053" s="1">
        <f t="shared" si="341"/>
        <v>1097</v>
      </c>
      <c r="V1053" s="7">
        <f t="shared" si="342"/>
        <v>2.917046490428441</v>
      </c>
      <c r="W1053" s="7">
        <f t="shared" si="343"/>
        <v>1064.721969006381</v>
      </c>
      <c r="X1053" s="7">
        <f t="shared" si="344"/>
        <v>1.3309024612579763</v>
      </c>
      <c r="AA1053" s="8">
        <f t="shared" si="345"/>
        <v>44927</v>
      </c>
      <c r="AB1053" s="8">
        <f t="shared" si="346"/>
        <v>45291</v>
      </c>
      <c r="AC1053" s="1">
        <v>1</v>
      </c>
      <c r="AD1053" s="1">
        <f t="shared" si="347"/>
        <v>0</v>
      </c>
      <c r="AE1053" s="1">
        <f t="shared" si="348"/>
        <v>0</v>
      </c>
      <c r="AF1053" s="1">
        <f t="shared" si="349"/>
        <v>0</v>
      </c>
      <c r="AG1053" s="1">
        <f t="shared" si="350"/>
        <v>0</v>
      </c>
      <c r="AH1053" s="1">
        <f t="shared" si="351"/>
        <v>182.5</v>
      </c>
      <c r="AI1053" s="5">
        <f t="shared" si="352"/>
        <v>0.5</v>
      </c>
      <c r="AJ1053" s="5">
        <f t="shared" si="353"/>
        <v>0.66545123062898814</v>
      </c>
      <c r="AK1053" s="5">
        <f t="shared" si="354"/>
        <v>0.33272561531449407</v>
      </c>
      <c r="AL1053" s="5">
        <f t="shared" si="355"/>
        <v>0.83181403828623512</v>
      </c>
      <c r="AM1053" s="5">
        <f t="shared" si="356"/>
        <v>0</v>
      </c>
      <c r="AN1053" s="5">
        <f t="shared" si="357"/>
        <v>0.83181403828623512</v>
      </c>
      <c r="AO1053" s="1" t="s">
        <v>102</v>
      </c>
    </row>
    <row r="1054" spans="1:41" x14ac:dyDescent="0.25">
      <c r="A1054" s="1" t="s">
        <v>19</v>
      </c>
      <c r="B1054" s="1" t="s">
        <v>50</v>
      </c>
      <c r="C1054" s="1" t="s">
        <v>21</v>
      </c>
      <c r="D1054" s="1" t="s">
        <v>51</v>
      </c>
      <c r="E1054" s="1" t="s">
        <v>96</v>
      </c>
      <c r="F1054" s="1" t="s">
        <v>103</v>
      </c>
      <c r="G1054" s="1" t="s">
        <v>114</v>
      </c>
      <c r="H1054" s="1" t="s">
        <v>260</v>
      </c>
      <c r="I1054" s="1" t="s">
        <v>100</v>
      </c>
      <c r="J1054" s="1" t="s">
        <v>101</v>
      </c>
      <c r="K1054" s="1" t="s">
        <v>116</v>
      </c>
      <c r="L1054" s="1">
        <v>2597039</v>
      </c>
      <c r="M1054" s="1" t="s">
        <v>1209</v>
      </c>
      <c r="N1054" s="8">
        <f t="shared" si="360"/>
        <v>43531</v>
      </c>
      <c r="O1054" s="8">
        <f>DATE(2022,3,7)</f>
        <v>44627</v>
      </c>
      <c r="P1054" s="1">
        <v>3186</v>
      </c>
      <c r="Q1054" s="1">
        <v>800</v>
      </c>
      <c r="R1054" s="1">
        <f t="shared" si="340"/>
        <v>3000</v>
      </c>
      <c r="S1054" s="1">
        <v>1.5</v>
      </c>
      <c r="U1054" s="1">
        <f t="shared" si="341"/>
        <v>1097</v>
      </c>
      <c r="V1054" s="7">
        <f t="shared" si="342"/>
        <v>2.7347310847766635</v>
      </c>
      <c r="W1054" s="7">
        <f t="shared" si="343"/>
        <v>998.17684594348214</v>
      </c>
      <c r="X1054" s="7">
        <f t="shared" si="344"/>
        <v>1.2477210574293527</v>
      </c>
      <c r="AA1054" s="8">
        <f t="shared" si="345"/>
        <v>44927</v>
      </c>
      <c r="AB1054" s="8">
        <f t="shared" si="346"/>
        <v>45291</v>
      </c>
      <c r="AC1054" s="1">
        <v>1</v>
      </c>
      <c r="AD1054" s="1">
        <f t="shared" si="347"/>
        <v>0</v>
      </c>
      <c r="AE1054" s="1">
        <f t="shared" si="348"/>
        <v>0</v>
      </c>
      <c r="AF1054" s="1">
        <f t="shared" si="349"/>
        <v>0</v>
      </c>
      <c r="AG1054" s="1">
        <f t="shared" si="350"/>
        <v>0</v>
      </c>
      <c r="AH1054" s="1">
        <f t="shared" si="351"/>
        <v>182.5</v>
      </c>
      <c r="AI1054" s="5">
        <f t="shared" si="352"/>
        <v>0.5</v>
      </c>
      <c r="AJ1054" s="5">
        <f t="shared" si="353"/>
        <v>0.62386052871467634</v>
      </c>
      <c r="AK1054" s="5">
        <f t="shared" si="354"/>
        <v>0.31193026435733817</v>
      </c>
      <c r="AL1054" s="5">
        <f t="shared" si="355"/>
        <v>0.46789539653600726</v>
      </c>
      <c r="AM1054" s="5">
        <f t="shared" si="356"/>
        <v>0</v>
      </c>
      <c r="AN1054" s="5">
        <f t="shared" si="357"/>
        <v>0.46789539653600726</v>
      </c>
      <c r="AO1054" s="1" t="s">
        <v>102</v>
      </c>
    </row>
    <row r="1055" spans="1:41" x14ac:dyDescent="0.25">
      <c r="A1055" s="1" t="s">
        <v>19</v>
      </c>
      <c r="B1055" s="1" t="s">
        <v>50</v>
      </c>
      <c r="C1055" s="1" t="s">
        <v>21</v>
      </c>
      <c r="D1055" s="1" t="s">
        <v>51</v>
      </c>
      <c r="E1055" s="1" t="s">
        <v>96</v>
      </c>
      <c r="F1055" s="1" t="s">
        <v>103</v>
      </c>
      <c r="G1055" s="1" t="s">
        <v>114</v>
      </c>
      <c r="H1055" s="1" t="s">
        <v>115</v>
      </c>
      <c r="I1055" s="1" t="s">
        <v>100</v>
      </c>
      <c r="J1055" s="1" t="s">
        <v>101</v>
      </c>
      <c r="K1055" s="1" t="s">
        <v>382</v>
      </c>
      <c r="L1055" s="1">
        <v>2597041</v>
      </c>
      <c r="M1055" s="1" t="s">
        <v>1210</v>
      </c>
      <c r="N1055" s="8">
        <f t="shared" si="360"/>
        <v>43531</v>
      </c>
      <c r="O1055" s="8">
        <f>DATE(2022,3,7)</f>
        <v>44627</v>
      </c>
      <c r="P1055" s="1">
        <v>2444</v>
      </c>
      <c r="Q1055" s="1">
        <v>800</v>
      </c>
      <c r="R1055" s="1">
        <f t="shared" si="340"/>
        <v>2400</v>
      </c>
      <c r="S1055" s="1">
        <v>2.5</v>
      </c>
      <c r="U1055" s="1">
        <f t="shared" si="341"/>
        <v>1097</v>
      </c>
      <c r="V1055" s="7">
        <f t="shared" si="342"/>
        <v>2.187784867821331</v>
      </c>
      <c r="W1055" s="7">
        <f t="shared" si="343"/>
        <v>798.54147675478578</v>
      </c>
      <c r="X1055" s="7">
        <f t="shared" si="344"/>
        <v>0.99817684594348222</v>
      </c>
      <c r="AA1055" s="8">
        <f t="shared" si="345"/>
        <v>44927</v>
      </c>
      <c r="AB1055" s="8">
        <f t="shared" si="346"/>
        <v>45291</v>
      </c>
      <c r="AC1055" s="1">
        <v>14</v>
      </c>
      <c r="AD1055" s="1">
        <f t="shared" si="347"/>
        <v>0</v>
      </c>
      <c r="AE1055" s="1">
        <f t="shared" si="348"/>
        <v>0</v>
      </c>
      <c r="AF1055" s="1">
        <f t="shared" si="349"/>
        <v>0</v>
      </c>
      <c r="AG1055" s="1">
        <f t="shared" si="350"/>
        <v>0</v>
      </c>
      <c r="AH1055" s="1">
        <f t="shared" si="351"/>
        <v>182.5</v>
      </c>
      <c r="AI1055" s="5">
        <f t="shared" si="352"/>
        <v>0.5</v>
      </c>
      <c r="AJ1055" s="5">
        <f t="shared" si="353"/>
        <v>0.49908842297174111</v>
      </c>
      <c r="AK1055" s="5">
        <f t="shared" si="354"/>
        <v>3.4936189608021877</v>
      </c>
      <c r="AL1055" s="5">
        <f t="shared" si="355"/>
        <v>8.7340474020054693</v>
      </c>
      <c r="AM1055" s="5">
        <f t="shared" si="356"/>
        <v>0</v>
      </c>
      <c r="AN1055" s="5">
        <f t="shared" si="357"/>
        <v>8.7340474020054693</v>
      </c>
      <c r="AO1055" s="1" t="s">
        <v>102</v>
      </c>
    </row>
    <row r="1056" spans="1:41" x14ac:dyDescent="0.25">
      <c r="A1056" s="1" t="s">
        <v>19</v>
      </c>
      <c r="B1056" s="1" t="s">
        <v>50</v>
      </c>
      <c r="C1056" s="1" t="s">
        <v>21</v>
      </c>
      <c r="D1056" s="1" t="s">
        <v>51</v>
      </c>
      <c r="E1056" s="1" t="s">
        <v>96</v>
      </c>
      <c r="F1056" s="1" t="s">
        <v>103</v>
      </c>
      <c r="G1056" s="1" t="s">
        <v>114</v>
      </c>
      <c r="H1056" s="1" t="s">
        <v>892</v>
      </c>
      <c r="I1056" s="1" t="s">
        <v>194</v>
      </c>
      <c r="J1056" s="1" t="s">
        <v>101</v>
      </c>
      <c r="K1056" s="1" t="s">
        <v>175</v>
      </c>
      <c r="L1056" s="1">
        <v>2597043</v>
      </c>
      <c r="M1056" s="1" t="s">
        <v>1211</v>
      </c>
      <c r="N1056" s="8">
        <f t="shared" si="360"/>
        <v>43531</v>
      </c>
      <c r="O1056" s="8">
        <f>DATE(2020,9,7)</f>
        <v>44081</v>
      </c>
      <c r="P1056" s="1">
        <v>1207</v>
      </c>
      <c r="Q1056" s="1">
        <v>1200</v>
      </c>
      <c r="R1056" s="1">
        <f t="shared" si="340"/>
        <v>1200</v>
      </c>
      <c r="S1056" s="1">
        <v>2.5</v>
      </c>
      <c r="U1056" s="1">
        <f t="shared" si="341"/>
        <v>551</v>
      </c>
      <c r="V1056" s="7">
        <f t="shared" si="342"/>
        <v>2.1778584392014517</v>
      </c>
      <c r="W1056" s="7">
        <f t="shared" si="343"/>
        <v>794.9183303085299</v>
      </c>
      <c r="X1056" s="7">
        <f t="shared" si="344"/>
        <v>0.99364791288566234</v>
      </c>
      <c r="AA1056" s="8">
        <f t="shared" si="345"/>
        <v>44927</v>
      </c>
      <c r="AB1056" s="8">
        <f t="shared" si="346"/>
        <v>45291</v>
      </c>
      <c r="AC1056" s="1">
        <v>2</v>
      </c>
      <c r="AD1056" s="1">
        <f t="shared" si="347"/>
        <v>0</v>
      </c>
      <c r="AE1056" s="1">
        <f t="shared" si="348"/>
        <v>0</v>
      </c>
      <c r="AF1056" s="1">
        <f t="shared" si="349"/>
        <v>0</v>
      </c>
      <c r="AG1056" s="1">
        <f t="shared" si="350"/>
        <v>0</v>
      </c>
      <c r="AH1056" s="1">
        <f t="shared" si="351"/>
        <v>182.5</v>
      </c>
      <c r="AI1056" s="5">
        <f t="shared" si="352"/>
        <v>0.5</v>
      </c>
      <c r="AJ1056" s="5">
        <f t="shared" si="353"/>
        <v>0.49682395644283117</v>
      </c>
      <c r="AK1056" s="5">
        <f t="shared" si="354"/>
        <v>0.49682395644283117</v>
      </c>
      <c r="AL1056" s="5">
        <f t="shared" si="355"/>
        <v>1.2420598911070779</v>
      </c>
      <c r="AM1056" s="5">
        <f t="shared" si="356"/>
        <v>0</v>
      </c>
      <c r="AN1056" s="5">
        <f t="shared" si="357"/>
        <v>1.2420598911070779</v>
      </c>
      <c r="AO1056" s="1" t="s">
        <v>102</v>
      </c>
    </row>
    <row r="1057" spans="1:41" x14ac:dyDescent="0.25">
      <c r="A1057" s="1" t="s">
        <v>19</v>
      </c>
      <c r="B1057" s="1" t="s">
        <v>50</v>
      </c>
      <c r="C1057" s="1" t="s">
        <v>21</v>
      </c>
      <c r="D1057" s="1" t="s">
        <v>51</v>
      </c>
      <c r="E1057" s="1" t="s">
        <v>96</v>
      </c>
      <c r="F1057" s="1" t="s">
        <v>103</v>
      </c>
      <c r="G1057" s="1" t="s">
        <v>320</v>
      </c>
      <c r="H1057" s="1" t="s">
        <v>491</v>
      </c>
      <c r="I1057" s="1" t="s">
        <v>174</v>
      </c>
      <c r="J1057" s="1" t="s">
        <v>101</v>
      </c>
      <c r="L1057" s="1">
        <v>2598270</v>
      </c>
      <c r="M1057" s="1" t="s">
        <v>1212</v>
      </c>
      <c r="N1057" s="8">
        <f t="shared" si="360"/>
        <v>43531</v>
      </c>
      <c r="O1057" s="8">
        <f>DATE(2023,3,5)</f>
        <v>44990</v>
      </c>
      <c r="P1057" s="1">
        <v>3200</v>
      </c>
      <c r="Q1057" s="1">
        <v>3200</v>
      </c>
      <c r="R1057" s="1">
        <f t="shared" si="340"/>
        <v>3200</v>
      </c>
      <c r="S1057" s="1">
        <v>2.5</v>
      </c>
      <c r="U1057" s="1">
        <f t="shared" si="341"/>
        <v>1460</v>
      </c>
      <c r="V1057" s="7">
        <f t="shared" si="342"/>
        <v>2.1917808219178081</v>
      </c>
      <c r="W1057" s="7">
        <f t="shared" si="343"/>
        <v>800</v>
      </c>
      <c r="X1057" s="7">
        <f t="shared" si="344"/>
        <v>1</v>
      </c>
      <c r="AA1057" s="8">
        <f t="shared" si="345"/>
        <v>44927</v>
      </c>
      <c r="AB1057" s="8">
        <f t="shared" si="346"/>
        <v>45291</v>
      </c>
      <c r="AC1057" s="1">
        <v>18</v>
      </c>
      <c r="AD1057" s="1">
        <f t="shared" si="347"/>
        <v>0</v>
      </c>
      <c r="AE1057" s="1">
        <f t="shared" si="348"/>
        <v>0</v>
      </c>
      <c r="AF1057" s="1">
        <f t="shared" si="349"/>
        <v>64</v>
      </c>
      <c r="AG1057" s="1">
        <f t="shared" si="350"/>
        <v>0</v>
      </c>
      <c r="AH1057" s="1">
        <f t="shared" si="351"/>
        <v>0</v>
      </c>
      <c r="AI1057" s="5">
        <f t="shared" si="352"/>
        <v>0.17534246575342466</v>
      </c>
      <c r="AJ1057" s="5">
        <f t="shared" si="353"/>
        <v>0.17534246575342466</v>
      </c>
      <c r="AK1057" s="5">
        <f t="shared" si="354"/>
        <v>3.1561643835616437</v>
      </c>
      <c r="AL1057" s="5">
        <f t="shared" si="355"/>
        <v>7.8904109589041092</v>
      </c>
      <c r="AM1057" s="5">
        <f t="shared" si="356"/>
        <v>0</v>
      </c>
      <c r="AN1057" s="5">
        <f t="shared" si="357"/>
        <v>7.8904109589041092</v>
      </c>
      <c r="AO1057" s="1" t="s">
        <v>102</v>
      </c>
    </row>
    <row r="1058" spans="1:41" x14ac:dyDescent="0.25">
      <c r="A1058" s="1" t="s">
        <v>19</v>
      </c>
      <c r="B1058" s="1" t="s">
        <v>50</v>
      </c>
      <c r="C1058" s="1" t="s">
        <v>21</v>
      </c>
      <c r="D1058" s="1" t="s">
        <v>51</v>
      </c>
      <c r="E1058" s="1" t="s">
        <v>96</v>
      </c>
      <c r="F1058" s="1" t="s">
        <v>103</v>
      </c>
      <c r="G1058" s="1" t="s">
        <v>127</v>
      </c>
      <c r="H1058" s="1" t="s">
        <v>1143</v>
      </c>
      <c r="I1058" s="1" t="s">
        <v>162</v>
      </c>
      <c r="J1058" s="1" t="s">
        <v>101</v>
      </c>
      <c r="L1058" s="1">
        <v>2598272</v>
      </c>
      <c r="M1058" s="1" t="s">
        <v>1213</v>
      </c>
      <c r="N1058" s="8">
        <f t="shared" si="360"/>
        <v>43531</v>
      </c>
      <c r="O1058" s="8">
        <f>DATE(2022,3,7)</f>
        <v>44627</v>
      </c>
      <c r="P1058" s="1">
        <v>2140</v>
      </c>
      <c r="Q1058" s="1">
        <v>2000</v>
      </c>
      <c r="R1058" s="1">
        <f t="shared" si="340"/>
        <v>2000</v>
      </c>
      <c r="S1058" s="1">
        <v>1.5</v>
      </c>
      <c r="U1058" s="1">
        <f t="shared" si="341"/>
        <v>1097</v>
      </c>
      <c r="V1058" s="7">
        <f t="shared" si="342"/>
        <v>1.8231540565177757</v>
      </c>
      <c r="W1058" s="7">
        <f t="shared" si="343"/>
        <v>665.45123062898813</v>
      </c>
      <c r="X1058" s="7">
        <f t="shared" si="344"/>
        <v>0.83181403828623512</v>
      </c>
      <c r="AA1058" s="8">
        <f t="shared" si="345"/>
        <v>44927</v>
      </c>
      <c r="AB1058" s="8">
        <f t="shared" si="346"/>
        <v>45291</v>
      </c>
      <c r="AC1058" s="1">
        <v>22</v>
      </c>
      <c r="AD1058" s="1">
        <f t="shared" si="347"/>
        <v>0</v>
      </c>
      <c r="AE1058" s="1">
        <f t="shared" si="348"/>
        <v>0</v>
      </c>
      <c r="AF1058" s="1">
        <f t="shared" si="349"/>
        <v>0</v>
      </c>
      <c r="AG1058" s="1">
        <f t="shared" si="350"/>
        <v>0</v>
      </c>
      <c r="AH1058" s="1">
        <f t="shared" si="351"/>
        <v>182.5</v>
      </c>
      <c r="AI1058" s="5">
        <f t="shared" si="352"/>
        <v>0.5</v>
      </c>
      <c r="AJ1058" s="5">
        <f t="shared" si="353"/>
        <v>0.41590701914311756</v>
      </c>
      <c r="AK1058" s="5">
        <f t="shared" si="354"/>
        <v>4.5749772105742927</v>
      </c>
      <c r="AL1058" s="5">
        <f t="shared" si="355"/>
        <v>6.8624658158614391</v>
      </c>
      <c r="AM1058" s="5">
        <f t="shared" si="356"/>
        <v>0</v>
      </c>
      <c r="AN1058" s="5">
        <f t="shared" si="357"/>
        <v>6.8624658158614391</v>
      </c>
      <c r="AO1058" s="1" t="s">
        <v>102</v>
      </c>
    </row>
    <row r="1059" spans="1:41" x14ac:dyDescent="0.25">
      <c r="A1059" s="1" t="s">
        <v>19</v>
      </c>
      <c r="B1059" s="1" t="s">
        <v>50</v>
      </c>
      <c r="C1059" s="1" t="s">
        <v>21</v>
      </c>
      <c r="D1059" s="1" t="s">
        <v>51</v>
      </c>
      <c r="E1059" s="1" t="s">
        <v>96</v>
      </c>
      <c r="F1059" s="1" t="s">
        <v>103</v>
      </c>
      <c r="G1059" s="1" t="s">
        <v>114</v>
      </c>
      <c r="H1059" s="1" t="s">
        <v>260</v>
      </c>
      <c r="I1059" s="1" t="s">
        <v>100</v>
      </c>
      <c r="J1059" s="1" t="s">
        <v>101</v>
      </c>
      <c r="K1059" s="1" t="s">
        <v>116</v>
      </c>
      <c r="L1059" s="1">
        <v>2679281</v>
      </c>
      <c r="M1059" s="1" t="s">
        <v>1214</v>
      </c>
      <c r="N1059" s="8">
        <f t="shared" ref="N1059:N1065" si="361">DATE(2020,2,10)</f>
        <v>43871</v>
      </c>
      <c r="O1059" s="8">
        <f t="shared" ref="O1059:O1064" si="362">DATE(2023,2,10)</f>
        <v>44967</v>
      </c>
      <c r="P1059" s="1">
        <v>3186</v>
      </c>
      <c r="Q1059" s="1">
        <v>800</v>
      </c>
      <c r="R1059" s="1">
        <f t="shared" si="340"/>
        <v>3000</v>
      </c>
      <c r="S1059" s="1">
        <v>1.5</v>
      </c>
      <c r="U1059" s="1">
        <f t="shared" si="341"/>
        <v>1097</v>
      </c>
      <c r="V1059" s="7">
        <f t="shared" si="342"/>
        <v>2.7347310847766635</v>
      </c>
      <c r="W1059" s="7">
        <f t="shared" si="343"/>
        <v>998.17684594348214</v>
      </c>
      <c r="X1059" s="7">
        <f t="shared" si="344"/>
        <v>1.2477210574293527</v>
      </c>
      <c r="AA1059" s="8">
        <f t="shared" si="345"/>
        <v>44927</v>
      </c>
      <c r="AB1059" s="8">
        <f t="shared" si="346"/>
        <v>45291</v>
      </c>
      <c r="AC1059" s="1">
        <v>15</v>
      </c>
      <c r="AD1059" s="1">
        <f t="shared" si="347"/>
        <v>0</v>
      </c>
      <c r="AE1059" s="1">
        <f t="shared" si="348"/>
        <v>0</v>
      </c>
      <c r="AF1059" s="1">
        <f t="shared" si="349"/>
        <v>41</v>
      </c>
      <c r="AG1059" s="1">
        <f t="shared" si="350"/>
        <v>0</v>
      </c>
      <c r="AH1059" s="1">
        <f t="shared" si="351"/>
        <v>0</v>
      </c>
      <c r="AI1059" s="5">
        <f t="shared" si="352"/>
        <v>0.11232876712328767</v>
      </c>
      <c r="AJ1059" s="5">
        <f t="shared" si="353"/>
        <v>0.14015496809480399</v>
      </c>
      <c r="AK1059" s="5">
        <f t="shared" si="354"/>
        <v>2.1023245214220596</v>
      </c>
      <c r="AL1059" s="5">
        <f t="shared" si="355"/>
        <v>3.1534867821330894</v>
      </c>
      <c r="AM1059" s="5">
        <f t="shared" si="356"/>
        <v>0</v>
      </c>
      <c r="AN1059" s="5">
        <f t="shared" si="357"/>
        <v>3.1534867821330894</v>
      </c>
      <c r="AO1059" s="1" t="s">
        <v>102</v>
      </c>
    </row>
    <row r="1060" spans="1:41" x14ac:dyDescent="0.25">
      <c r="A1060" s="1" t="s">
        <v>19</v>
      </c>
      <c r="B1060" s="1" t="s">
        <v>50</v>
      </c>
      <c r="C1060" s="1" t="s">
        <v>21</v>
      </c>
      <c r="D1060" s="1" t="s">
        <v>51</v>
      </c>
      <c r="E1060" s="1" t="s">
        <v>96</v>
      </c>
      <c r="F1060" s="1" t="s">
        <v>103</v>
      </c>
      <c r="G1060" s="1" t="s">
        <v>114</v>
      </c>
      <c r="H1060" s="1" t="s">
        <v>254</v>
      </c>
      <c r="I1060" s="1" t="s">
        <v>255</v>
      </c>
      <c r="J1060" s="1" t="s">
        <v>101</v>
      </c>
      <c r="K1060" s="1" t="s">
        <v>116</v>
      </c>
      <c r="L1060" s="1">
        <v>2679282</v>
      </c>
      <c r="M1060" s="1" t="s">
        <v>1215</v>
      </c>
      <c r="N1060" s="8">
        <f t="shared" si="361"/>
        <v>43871</v>
      </c>
      <c r="O1060" s="8">
        <f t="shared" si="362"/>
        <v>44967</v>
      </c>
      <c r="P1060" s="1">
        <v>3424</v>
      </c>
      <c r="Q1060" s="1">
        <v>1200</v>
      </c>
      <c r="R1060" s="1">
        <f t="shared" si="340"/>
        <v>3200</v>
      </c>
      <c r="S1060" s="1">
        <v>2.5</v>
      </c>
      <c r="U1060" s="1">
        <f t="shared" si="341"/>
        <v>1097</v>
      </c>
      <c r="V1060" s="7">
        <f t="shared" si="342"/>
        <v>2.917046490428441</v>
      </c>
      <c r="W1060" s="7">
        <f t="shared" si="343"/>
        <v>1064.721969006381</v>
      </c>
      <c r="X1060" s="7">
        <f t="shared" si="344"/>
        <v>1.3309024612579763</v>
      </c>
      <c r="AA1060" s="8">
        <f t="shared" si="345"/>
        <v>44927</v>
      </c>
      <c r="AB1060" s="8">
        <f t="shared" si="346"/>
        <v>45291</v>
      </c>
      <c r="AC1060" s="1">
        <v>45</v>
      </c>
      <c r="AD1060" s="1">
        <f t="shared" si="347"/>
        <v>0</v>
      </c>
      <c r="AE1060" s="1">
        <f t="shared" si="348"/>
        <v>0</v>
      </c>
      <c r="AF1060" s="1">
        <f t="shared" si="349"/>
        <v>41</v>
      </c>
      <c r="AG1060" s="1">
        <f t="shared" si="350"/>
        <v>0</v>
      </c>
      <c r="AH1060" s="1">
        <f t="shared" si="351"/>
        <v>0</v>
      </c>
      <c r="AI1060" s="5">
        <f t="shared" si="352"/>
        <v>0.11232876712328767</v>
      </c>
      <c r="AJ1060" s="5">
        <f t="shared" si="353"/>
        <v>0.14949863263445762</v>
      </c>
      <c r="AK1060" s="5">
        <f t="shared" si="354"/>
        <v>6.7274384685505932</v>
      </c>
      <c r="AL1060" s="5">
        <f t="shared" si="355"/>
        <v>16.818596171376484</v>
      </c>
      <c r="AM1060" s="5">
        <f t="shared" si="356"/>
        <v>0</v>
      </c>
      <c r="AN1060" s="5">
        <f t="shared" si="357"/>
        <v>16.818596171376484</v>
      </c>
      <c r="AO1060" s="1" t="s">
        <v>102</v>
      </c>
    </row>
    <row r="1061" spans="1:41" x14ac:dyDescent="0.25">
      <c r="A1061" s="1" t="s">
        <v>19</v>
      </c>
      <c r="B1061" s="1" t="s">
        <v>50</v>
      </c>
      <c r="C1061" s="1" t="s">
        <v>21</v>
      </c>
      <c r="D1061" s="1" t="s">
        <v>51</v>
      </c>
      <c r="E1061" s="1" t="s">
        <v>96</v>
      </c>
      <c r="F1061" s="1" t="s">
        <v>103</v>
      </c>
      <c r="G1061" s="1" t="s">
        <v>114</v>
      </c>
      <c r="H1061" s="1" t="s">
        <v>892</v>
      </c>
      <c r="I1061" s="1" t="s">
        <v>194</v>
      </c>
      <c r="J1061" s="1" t="s">
        <v>101</v>
      </c>
      <c r="K1061" s="1" t="s">
        <v>116</v>
      </c>
      <c r="L1061" s="1">
        <v>2679283</v>
      </c>
      <c r="M1061" s="1" t="s">
        <v>1216</v>
      </c>
      <c r="N1061" s="8">
        <f t="shared" si="361"/>
        <v>43871</v>
      </c>
      <c r="O1061" s="8">
        <f t="shared" si="362"/>
        <v>44967</v>
      </c>
      <c r="P1061" s="1">
        <v>3424</v>
      </c>
      <c r="Q1061" s="1">
        <v>1200</v>
      </c>
      <c r="R1061" s="1">
        <f t="shared" si="340"/>
        <v>3200</v>
      </c>
      <c r="S1061" s="1">
        <v>2.5</v>
      </c>
      <c r="U1061" s="1">
        <f t="shared" si="341"/>
        <v>1097</v>
      </c>
      <c r="V1061" s="7">
        <f t="shared" si="342"/>
        <v>2.917046490428441</v>
      </c>
      <c r="W1061" s="7">
        <f t="shared" si="343"/>
        <v>1064.721969006381</v>
      </c>
      <c r="X1061" s="7">
        <f t="shared" si="344"/>
        <v>1.3309024612579763</v>
      </c>
      <c r="AA1061" s="8">
        <f t="shared" si="345"/>
        <v>44927</v>
      </c>
      <c r="AB1061" s="8">
        <f t="shared" si="346"/>
        <v>45291</v>
      </c>
      <c r="AC1061" s="1">
        <v>12</v>
      </c>
      <c r="AD1061" s="1">
        <f t="shared" si="347"/>
        <v>0</v>
      </c>
      <c r="AE1061" s="1">
        <f t="shared" si="348"/>
        <v>0</v>
      </c>
      <c r="AF1061" s="1">
        <f t="shared" si="349"/>
        <v>41</v>
      </c>
      <c r="AG1061" s="1">
        <f t="shared" si="350"/>
        <v>0</v>
      </c>
      <c r="AH1061" s="1">
        <f t="shared" si="351"/>
        <v>0</v>
      </c>
      <c r="AI1061" s="5">
        <f t="shared" si="352"/>
        <v>0.11232876712328767</v>
      </c>
      <c r="AJ1061" s="5">
        <f t="shared" si="353"/>
        <v>0.14949863263445762</v>
      </c>
      <c r="AK1061" s="5">
        <f t="shared" si="354"/>
        <v>1.7939835916134914</v>
      </c>
      <c r="AL1061" s="5">
        <f t="shared" si="355"/>
        <v>4.4849589790337285</v>
      </c>
      <c r="AM1061" s="5">
        <f t="shared" si="356"/>
        <v>0</v>
      </c>
      <c r="AN1061" s="5">
        <f t="shared" si="357"/>
        <v>4.4849589790337285</v>
      </c>
      <c r="AO1061" s="1" t="s">
        <v>102</v>
      </c>
    </row>
    <row r="1062" spans="1:41" x14ac:dyDescent="0.25">
      <c r="A1062" s="1" t="s">
        <v>19</v>
      </c>
      <c r="B1062" s="1" t="s">
        <v>50</v>
      </c>
      <c r="C1062" s="1" t="s">
        <v>21</v>
      </c>
      <c r="D1062" s="1" t="s">
        <v>51</v>
      </c>
      <c r="E1062" s="1" t="s">
        <v>96</v>
      </c>
      <c r="F1062" s="1" t="s">
        <v>103</v>
      </c>
      <c r="G1062" s="1" t="s">
        <v>114</v>
      </c>
      <c r="H1062" s="1" t="s">
        <v>247</v>
      </c>
      <c r="I1062" s="1" t="s">
        <v>162</v>
      </c>
      <c r="J1062" s="1" t="s">
        <v>101</v>
      </c>
      <c r="K1062" s="1" t="s">
        <v>116</v>
      </c>
      <c r="L1062" s="1">
        <v>2679287</v>
      </c>
      <c r="M1062" s="1" t="s">
        <v>1217</v>
      </c>
      <c r="N1062" s="8">
        <f t="shared" si="361"/>
        <v>43871</v>
      </c>
      <c r="O1062" s="8">
        <f t="shared" si="362"/>
        <v>44967</v>
      </c>
      <c r="P1062" s="1">
        <v>3672</v>
      </c>
      <c r="Q1062" s="1">
        <v>1200</v>
      </c>
      <c r="R1062" s="1">
        <f t="shared" si="340"/>
        <v>3200</v>
      </c>
      <c r="S1062" s="1">
        <v>1.5</v>
      </c>
      <c r="U1062" s="1">
        <f t="shared" si="341"/>
        <v>1097</v>
      </c>
      <c r="V1062" s="7">
        <f t="shared" si="342"/>
        <v>2.917046490428441</v>
      </c>
      <c r="W1062" s="7">
        <f t="shared" si="343"/>
        <v>1064.721969006381</v>
      </c>
      <c r="X1062" s="7">
        <f t="shared" si="344"/>
        <v>1.3309024612579763</v>
      </c>
      <c r="AA1062" s="8">
        <f t="shared" si="345"/>
        <v>44927</v>
      </c>
      <c r="AB1062" s="8">
        <f t="shared" si="346"/>
        <v>45291</v>
      </c>
      <c r="AC1062" s="1">
        <v>12</v>
      </c>
      <c r="AD1062" s="1">
        <f t="shared" si="347"/>
        <v>0</v>
      </c>
      <c r="AE1062" s="1">
        <f t="shared" si="348"/>
        <v>0</v>
      </c>
      <c r="AF1062" s="1">
        <f t="shared" si="349"/>
        <v>41</v>
      </c>
      <c r="AG1062" s="1">
        <f t="shared" si="350"/>
        <v>0</v>
      </c>
      <c r="AH1062" s="1">
        <f t="shared" si="351"/>
        <v>0</v>
      </c>
      <c r="AI1062" s="5">
        <f t="shared" si="352"/>
        <v>0.11232876712328767</v>
      </c>
      <c r="AJ1062" s="5">
        <f t="shared" si="353"/>
        <v>0.14949863263445762</v>
      </c>
      <c r="AK1062" s="5">
        <f t="shared" si="354"/>
        <v>1.7939835916134914</v>
      </c>
      <c r="AL1062" s="5">
        <f t="shared" si="355"/>
        <v>2.6909753874202371</v>
      </c>
      <c r="AM1062" s="5">
        <f t="shared" si="356"/>
        <v>0</v>
      </c>
      <c r="AN1062" s="5">
        <f t="shared" si="357"/>
        <v>2.6909753874202371</v>
      </c>
      <c r="AO1062" s="1" t="s">
        <v>102</v>
      </c>
    </row>
    <row r="1063" spans="1:41" x14ac:dyDescent="0.25">
      <c r="A1063" s="1" t="s">
        <v>19</v>
      </c>
      <c r="B1063" s="1" t="s">
        <v>50</v>
      </c>
      <c r="C1063" s="1" t="s">
        <v>21</v>
      </c>
      <c r="D1063" s="1" t="s">
        <v>51</v>
      </c>
      <c r="E1063" s="1" t="s">
        <v>96</v>
      </c>
      <c r="F1063" s="1" t="s">
        <v>103</v>
      </c>
      <c r="G1063" s="1" t="s">
        <v>114</v>
      </c>
      <c r="H1063" s="1" t="s">
        <v>115</v>
      </c>
      <c r="I1063" s="1" t="s">
        <v>100</v>
      </c>
      <c r="J1063" s="1" t="s">
        <v>101</v>
      </c>
      <c r="K1063" s="1" t="s">
        <v>382</v>
      </c>
      <c r="L1063" s="1">
        <v>2679294</v>
      </c>
      <c r="M1063" s="1" t="s">
        <v>1218</v>
      </c>
      <c r="N1063" s="8">
        <f t="shared" si="361"/>
        <v>43871</v>
      </c>
      <c r="O1063" s="8">
        <f t="shared" si="362"/>
        <v>44967</v>
      </c>
      <c r="P1063" s="1">
        <v>2444</v>
      </c>
      <c r="Q1063" s="1">
        <v>800</v>
      </c>
      <c r="R1063" s="1">
        <f t="shared" si="340"/>
        <v>2400</v>
      </c>
      <c r="S1063" s="1">
        <v>2.5</v>
      </c>
      <c r="U1063" s="1">
        <f t="shared" si="341"/>
        <v>1097</v>
      </c>
      <c r="V1063" s="7">
        <f t="shared" si="342"/>
        <v>2.187784867821331</v>
      </c>
      <c r="W1063" s="7">
        <f t="shared" si="343"/>
        <v>798.54147675478578</v>
      </c>
      <c r="X1063" s="7">
        <f t="shared" si="344"/>
        <v>0.99817684594348222</v>
      </c>
      <c r="AA1063" s="8">
        <f t="shared" si="345"/>
        <v>44927</v>
      </c>
      <c r="AB1063" s="8">
        <f t="shared" si="346"/>
        <v>45291</v>
      </c>
      <c r="AC1063" s="1">
        <v>30</v>
      </c>
      <c r="AD1063" s="1">
        <f t="shared" si="347"/>
        <v>0</v>
      </c>
      <c r="AE1063" s="1">
        <f t="shared" si="348"/>
        <v>0</v>
      </c>
      <c r="AF1063" s="1">
        <f t="shared" si="349"/>
        <v>41</v>
      </c>
      <c r="AG1063" s="1">
        <f t="shared" si="350"/>
        <v>0</v>
      </c>
      <c r="AH1063" s="1">
        <f t="shared" si="351"/>
        <v>0</v>
      </c>
      <c r="AI1063" s="5">
        <f t="shared" si="352"/>
        <v>0.11232876712328767</v>
      </c>
      <c r="AJ1063" s="5">
        <f t="shared" si="353"/>
        <v>0.1121239744758432</v>
      </c>
      <c r="AK1063" s="5">
        <f t="shared" si="354"/>
        <v>3.3637192342752962</v>
      </c>
      <c r="AL1063" s="5">
        <f t="shared" si="355"/>
        <v>8.4092980856882402</v>
      </c>
      <c r="AM1063" s="5">
        <f t="shared" si="356"/>
        <v>0</v>
      </c>
      <c r="AN1063" s="5">
        <f t="shared" si="357"/>
        <v>8.4092980856882402</v>
      </c>
      <c r="AO1063" s="1" t="s">
        <v>102</v>
      </c>
    </row>
    <row r="1064" spans="1:41" x14ac:dyDescent="0.25">
      <c r="A1064" s="1" t="s">
        <v>19</v>
      </c>
      <c r="B1064" s="1" t="s">
        <v>50</v>
      </c>
      <c r="C1064" s="1" t="s">
        <v>21</v>
      </c>
      <c r="D1064" s="1" t="s">
        <v>51</v>
      </c>
      <c r="E1064" s="1" t="s">
        <v>96</v>
      </c>
      <c r="F1064" s="1" t="s">
        <v>103</v>
      </c>
      <c r="G1064" s="1" t="s">
        <v>127</v>
      </c>
      <c r="H1064" s="1" t="s">
        <v>1143</v>
      </c>
      <c r="I1064" s="1" t="s">
        <v>162</v>
      </c>
      <c r="J1064" s="1" t="s">
        <v>101</v>
      </c>
      <c r="L1064" s="1">
        <v>2679302</v>
      </c>
      <c r="M1064" s="1" t="s">
        <v>1219</v>
      </c>
      <c r="N1064" s="8">
        <f t="shared" si="361"/>
        <v>43871</v>
      </c>
      <c r="O1064" s="8">
        <f t="shared" si="362"/>
        <v>44967</v>
      </c>
      <c r="P1064" s="1">
        <v>2140</v>
      </c>
      <c r="Q1064" s="1">
        <v>2000</v>
      </c>
      <c r="R1064" s="1">
        <f t="shared" si="340"/>
        <v>2000</v>
      </c>
      <c r="S1064" s="1">
        <v>1.5</v>
      </c>
      <c r="U1064" s="1">
        <f t="shared" si="341"/>
        <v>1097</v>
      </c>
      <c r="V1064" s="7">
        <f t="shared" si="342"/>
        <v>1.8231540565177757</v>
      </c>
      <c r="W1064" s="7">
        <f t="shared" si="343"/>
        <v>665.45123062898813</v>
      </c>
      <c r="X1064" s="7">
        <f t="shared" si="344"/>
        <v>0.83181403828623512</v>
      </c>
      <c r="AA1064" s="8">
        <f t="shared" si="345"/>
        <v>44927</v>
      </c>
      <c r="AB1064" s="8">
        <f t="shared" si="346"/>
        <v>45291</v>
      </c>
      <c r="AC1064" s="1">
        <v>31</v>
      </c>
      <c r="AD1064" s="1">
        <f t="shared" si="347"/>
        <v>0</v>
      </c>
      <c r="AE1064" s="1">
        <f t="shared" si="348"/>
        <v>0</v>
      </c>
      <c r="AF1064" s="1">
        <f t="shared" si="349"/>
        <v>41</v>
      </c>
      <c r="AG1064" s="1">
        <f t="shared" si="350"/>
        <v>0</v>
      </c>
      <c r="AH1064" s="1">
        <f t="shared" si="351"/>
        <v>0</v>
      </c>
      <c r="AI1064" s="5">
        <f t="shared" si="352"/>
        <v>0.11232876712328767</v>
      </c>
      <c r="AJ1064" s="5">
        <f t="shared" si="353"/>
        <v>9.3436645396535997E-2</v>
      </c>
      <c r="AK1064" s="5">
        <f t="shared" si="354"/>
        <v>2.8965360072926161</v>
      </c>
      <c r="AL1064" s="5">
        <f t="shared" si="355"/>
        <v>4.3448040109389243</v>
      </c>
      <c r="AM1064" s="5">
        <f t="shared" si="356"/>
        <v>0</v>
      </c>
      <c r="AN1064" s="5">
        <f t="shared" si="357"/>
        <v>4.3448040109389243</v>
      </c>
      <c r="AO1064" s="1" t="s">
        <v>102</v>
      </c>
    </row>
    <row r="1065" spans="1:41" x14ac:dyDescent="0.25">
      <c r="A1065" s="1" t="s">
        <v>19</v>
      </c>
      <c r="B1065" s="1" t="s">
        <v>50</v>
      </c>
      <c r="C1065" s="1" t="s">
        <v>21</v>
      </c>
      <c r="D1065" s="1" t="s">
        <v>51</v>
      </c>
      <c r="E1065" s="1" t="s">
        <v>96</v>
      </c>
      <c r="F1065" s="1" t="s">
        <v>103</v>
      </c>
      <c r="G1065" s="1" t="s">
        <v>320</v>
      </c>
      <c r="H1065" s="1" t="s">
        <v>491</v>
      </c>
      <c r="I1065" s="1" t="s">
        <v>174</v>
      </c>
      <c r="J1065" s="1" t="s">
        <v>101</v>
      </c>
      <c r="L1065" s="1">
        <v>2679307</v>
      </c>
      <c r="M1065" s="1" t="s">
        <v>1220</v>
      </c>
      <c r="N1065" s="8">
        <f t="shared" si="361"/>
        <v>43871</v>
      </c>
      <c r="O1065" s="8">
        <f>DATE(2024,2,8)</f>
        <v>45330</v>
      </c>
      <c r="P1065" s="1">
        <v>3200</v>
      </c>
      <c r="Q1065" s="1">
        <v>3200</v>
      </c>
      <c r="R1065" s="1">
        <f t="shared" si="340"/>
        <v>3200</v>
      </c>
      <c r="S1065" s="1">
        <v>2.5</v>
      </c>
      <c r="U1065" s="1">
        <f t="shared" si="341"/>
        <v>1460</v>
      </c>
      <c r="V1065" s="7">
        <f t="shared" si="342"/>
        <v>2.1917808219178081</v>
      </c>
      <c r="W1065" s="7">
        <f t="shared" si="343"/>
        <v>800</v>
      </c>
      <c r="X1065" s="7">
        <f t="shared" si="344"/>
        <v>1</v>
      </c>
      <c r="AA1065" s="8">
        <f t="shared" si="345"/>
        <v>44927</v>
      </c>
      <c r="AB1065" s="8">
        <f t="shared" si="346"/>
        <v>45291</v>
      </c>
      <c r="AC1065" s="1">
        <v>21</v>
      </c>
      <c r="AD1065" s="1">
        <f t="shared" si="347"/>
        <v>365</v>
      </c>
      <c r="AE1065" s="1">
        <f t="shared" si="348"/>
        <v>0</v>
      </c>
      <c r="AF1065" s="1">
        <f t="shared" si="349"/>
        <v>0</v>
      </c>
      <c r="AG1065" s="1">
        <f t="shared" si="350"/>
        <v>0</v>
      </c>
      <c r="AH1065" s="1">
        <f t="shared" si="351"/>
        <v>0</v>
      </c>
      <c r="AI1065" s="5">
        <f t="shared" si="352"/>
        <v>1</v>
      </c>
      <c r="AJ1065" s="5">
        <f t="shared" si="353"/>
        <v>1</v>
      </c>
      <c r="AK1065" s="5">
        <f t="shared" si="354"/>
        <v>21</v>
      </c>
      <c r="AL1065" s="5">
        <f t="shared" si="355"/>
        <v>52.5</v>
      </c>
      <c r="AM1065" s="5">
        <f t="shared" si="356"/>
        <v>0</v>
      </c>
      <c r="AN1065" s="5">
        <f t="shared" si="357"/>
        <v>52.5</v>
      </c>
      <c r="AO1065" s="1" t="s">
        <v>102</v>
      </c>
    </row>
    <row r="1066" spans="1:41" x14ac:dyDescent="0.25">
      <c r="A1066" s="1" t="s">
        <v>19</v>
      </c>
      <c r="B1066" s="1" t="s">
        <v>50</v>
      </c>
      <c r="C1066" s="1" t="s">
        <v>21</v>
      </c>
      <c r="D1066" s="1" t="s">
        <v>51</v>
      </c>
      <c r="E1066" s="1" t="s">
        <v>96</v>
      </c>
      <c r="F1066" s="1" t="s">
        <v>103</v>
      </c>
      <c r="G1066" s="1" t="s">
        <v>114</v>
      </c>
      <c r="H1066" s="1" t="s">
        <v>254</v>
      </c>
      <c r="I1066" s="1" t="s">
        <v>255</v>
      </c>
      <c r="J1066" s="1" t="s">
        <v>101</v>
      </c>
      <c r="K1066" s="1" t="s">
        <v>116</v>
      </c>
      <c r="L1066" s="1">
        <v>2760996</v>
      </c>
      <c r="M1066" s="1" t="s">
        <v>1221</v>
      </c>
      <c r="N1066" s="8">
        <f t="shared" ref="N1066:N1072" si="363">DATE(2021,3,1)</f>
        <v>44256</v>
      </c>
      <c r="O1066" s="8">
        <f t="shared" ref="O1066:O1071" si="364">DATE(2024,3,1)</f>
        <v>45352</v>
      </c>
      <c r="P1066" s="1">
        <v>3424</v>
      </c>
      <c r="Q1066" s="1">
        <v>1200</v>
      </c>
      <c r="R1066" s="1">
        <f t="shared" si="340"/>
        <v>3200</v>
      </c>
      <c r="S1066" s="1">
        <v>2.5</v>
      </c>
      <c r="U1066" s="1">
        <f t="shared" si="341"/>
        <v>1097</v>
      </c>
      <c r="V1066" s="7">
        <f t="shared" si="342"/>
        <v>2.917046490428441</v>
      </c>
      <c r="W1066" s="7">
        <f t="shared" si="343"/>
        <v>1064.721969006381</v>
      </c>
      <c r="X1066" s="7">
        <f t="shared" si="344"/>
        <v>1.3309024612579763</v>
      </c>
      <c r="AA1066" s="8">
        <f t="shared" si="345"/>
        <v>44927</v>
      </c>
      <c r="AB1066" s="8">
        <f t="shared" si="346"/>
        <v>45291</v>
      </c>
      <c r="AC1066" s="1">
        <v>29</v>
      </c>
      <c r="AD1066" s="1">
        <f t="shared" si="347"/>
        <v>365</v>
      </c>
      <c r="AE1066" s="1">
        <f t="shared" si="348"/>
        <v>0</v>
      </c>
      <c r="AF1066" s="1">
        <f t="shared" si="349"/>
        <v>0</v>
      </c>
      <c r="AG1066" s="1">
        <f t="shared" si="350"/>
        <v>0</v>
      </c>
      <c r="AH1066" s="1">
        <f t="shared" si="351"/>
        <v>0</v>
      </c>
      <c r="AI1066" s="5">
        <f t="shared" si="352"/>
        <v>1</v>
      </c>
      <c r="AJ1066" s="5">
        <f t="shared" si="353"/>
        <v>1.3309024612579763</v>
      </c>
      <c r="AK1066" s="5">
        <f t="shared" si="354"/>
        <v>38.596171376481315</v>
      </c>
      <c r="AL1066" s="5">
        <f t="shared" si="355"/>
        <v>96.490428441203292</v>
      </c>
      <c r="AM1066" s="5">
        <f t="shared" si="356"/>
        <v>0</v>
      </c>
      <c r="AN1066" s="5">
        <f t="shared" si="357"/>
        <v>96.490428441203292</v>
      </c>
      <c r="AO1066" s="1" t="s">
        <v>102</v>
      </c>
    </row>
    <row r="1067" spans="1:41" x14ac:dyDescent="0.25">
      <c r="A1067" s="1" t="s">
        <v>19</v>
      </c>
      <c r="B1067" s="1" t="s">
        <v>50</v>
      </c>
      <c r="C1067" s="1" t="s">
        <v>21</v>
      </c>
      <c r="D1067" s="1" t="s">
        <v>51</v>
      </c>
      <c r="E1067" s="1" t="s">
        <v>96</v>
      </c>
      <c r="F1067" s="1" t="s">
        <v>103</v>
      </c>
      <c r="G1067" s="1" t="s">
        <v>114</v>
      </c>
      <c r="H1067" s="1" t="s">
        <v>247</v>
      </c>
      <c r="I1067" s="1" t="s">
        <v>162</v>
      </c>
      <c r="J1067" s="1" t="s">
        <v>101</v>
      </c>
      <c r="K1067" s="1" t="s">
        <v>116</v>
      </c>
      <c r="L1067" s="1">
        <v>2761045</v>
      </c>
      <c r="M1067" s="1" t="s">
        <v>1222</v>
      </c>
      <c r="N1067" s="8">
        <f t="shared" si="363"/>
        <v>44256</v>
      </c>
      <c r="O1067" s="8">
        <f t="shared" si="364"/>
        <v>45352</v>
      </c>
      <c r="P1067" s="1">
        <v>3672</v>
      </c>
      <c r="Q1067" s="1">
        <v>1200</v>
      </c>
      <c r="R1067" s="1">
        <f t="shared" si="340"/>
        <v>3200</v>
      </c>
      <c r="S1067" s="1">
        <v>1.5</v>
      </c>
      <c r="U1067" s="1">
        <f t="shared" si="341"/>
        <v>1097</v>
      </c>
      <c r="V1067" s="7">
        <f t="shared" si="342"/>
        <v>2.917046490428441</v>
      </c>
      <c r="W1067" s="7">
        <f t="shared" si="343"/>
        <v>1064.721969006381</v>
      </c>
      <c r="X1067" s="7">
        <f t="shared" si="344"/>
        <v>1.3309024612579763</v>
      </c>
      <c r="AA1067" s="8">
        <f t="shared" si="345"/>
        <v>44927</v>
      </c>
      <c r="AB1067" s="8">
        <f t="shared" si="346"/>
        <v>45291</v>
      </c>
      <c r="AC1067" s="1">
        <v>26</v>
      </c>
      <c r="AD1067" s="1">
        <f t="shared" si="347"/>
        <v>365</v>
      </c>
      <c r="AE1067" s="1">
        <f t="shared" si="348"/>
        <v>0</v>
      </c>
      <c r="AF1067" s="1">
        <f t="shared" si="349"/>
        <v>0</v>
      </c>
      <c r="AG1067" s="1">
        <f t="shared" si="350"/>
        <v>0</v>
      </c>
      <c r="AH1067" s="1">
        <f t="shared" si="351"/>
        <v>0</v>
      </c>
      <c r="AI1067" s="5">
        <f t="shared" si="352"/>
        <v>1</v>
      </c>
      <c r="AJ1067" s="5">
        <f t="shared" si="353"/>
        <v>1.3309024612579763</v>
      </c>
      <c r="AK1067" s="5">
        <f t="shared" si="354"/>
        <v>34.603463992707383</v>
      </c>
      <c r="AL1067" s="5">
        <f t="shared" si="355"/>
        <v>51.90519598906107</v>
      </c>
      <c r="AM1067" s="5">
        <f t="shared" si="356"/>
        <v>0</v>
      </c>
      <c r="AN1067" s="5">
        <f t="shared" si="357"/>
        <v>51.90519598906107</v>
      </c>
      <c r="AO1067" s="1" t="s">
        <v>102</v>
      </c>
    </row>
    <row r="1068" spans="1:41" x14ac:dyDescent="0.25">
      <c r="A1068" s="1" t="s">
        <v>19</v>
      </c>
      <c r="B1068" s="1" t="s">
        <v>50</v>
      </c>
      <c r="C1068" s="1" t="s">
        <v>21</v>
      </c>
      <c r="D1068" s="1" t="s">
        <v>51</v>
      </c>
      <c r="E1068" s="1" t="s">
        <v>96</v>
      </c>
      <c r="F1068" s="1" t="s">
        <v>103</v>
      </c>
      <c r="G1068" s="1" t="s">
        <v>114</v>
      </c>
      <c r="H1068" s="1" t="s">
        <v>260</v>
      </c>
      <c r="I1068" s="1" t="s">
        <v>100</v>
      </c>
      <c r="J1068" s="1" t="s">
        <v>101</v>
      </c>
      <c r="K1068" s="1" t="s">
        <v>116</v>
      </c>
      <c r="L1068" s="1">
        <v>2761046</v>
      </c>
      <c r="M1068" s="1" t="s">
        <v>1223</v>
      </c>
      <c r="N1068" s="8">
        <f t="shared" si="363"/>
        <v>44256</v>
      </c>
      <c r="O1068" s="8">
        <f t="shared" si="364"/>
        <v>45352</v>
      </c>
      <c r="P1068" s="1">
        <v>3186</v>
      </c>
      <c r="Q1068" s="1">
        <v>800</v>
      </c>
      <c r="R1068" s="1">
        <f t="shared" si="340"/>
        <v>3000</v>
      </c>
      <c r="S1068" s="1">
        <v>1.5</v>
      </c>
      <c r="U1068" s="1">
        <f t="shared" si="341"/>
        <v>1097</v>
      </c>
      <c r="V1068" s="7">
        <f t="shared" si="342"/>
        <v>2.7347310847766635</v>
      </c>
      <c r="W1068" s="7">
        <f t="shared" si="343"/>
        <v>998.17684594348214</v>
      </c>
      <c r="X1068" s="7">
        <f t="shared" si="344"/>
        <v>1.2477210574293527</v>
      </c>
      <c r="AA1068" s="8">
        <f t="shared" si="345"/>
        <v>44927</v>
      </c>
      <c r="AB1068" s="8">
        <f t="shared" si="346"/>
        <v>45291</v>
      </c>
      <c r="AC1068" s="1">
        <v>52</v>
      </c>
      <c r="AD1068" s="1">
        <f t="shared" si="347"/>
        <v>365</v>
      </c>
      <c r="AE1068" s="1">
        <f t="shared" si="348"/>
        <v>0</v>
      </c>
      <c r="AF1068" s="1">
        <f t="shared" si="349"/>
        <v>0</v>
      </c>
      <c r="AG1068" s="1">
        <f t="shared" si="350"/>
        <v>0</v>
      </c>
      <c r="AH1068" s="1">
        <f t="shared" si="351"/>
        <v>0</v>
      </c>
      <c r="AI1068" s="5">
        <f t="shared" si="352"/>
        <v>1</v>
      </c>
      <c r="AJ1068" s="5">
        <f t="shared" si="353"/>
        <v>1.2477210574293527</v>
      </c>
      <c r="AK1068" s="5">
        <f t="shared" si="354"/>
        <v>64.881494986326345</v>
      </c>
      <c r="AL1068" s="5">
        <f t="shared" si="355"/>
        <v>97.322242479489518</v>
      </c>
      <c r="AM1068" s="5">
        <f t="shared" si="356"/>
        <v>0</v>
      </c>
      <c r="AN1068" s="5">
        <f t="shared" si="357"/>
        <v>97.322242479489518</v>
      </c>
      <c r="AO1068" s="1" t="s">
        <v>102</v>
      </c>
    </row>
    <row r="1069" spans="1:41" x14ac:dyDescent="0.25">
      <c r="A1069" s="1" t="s">
        <v>19</v>
      </c>
      <c r="B1069" s="1" t="s">
        <v>50</v>
      </c>
      <c r="C1069" s="1" t="s">
        <v>21</v>
      </c>
      <c r="D1069" s="1" t="s">
        <v>51</v>
      </c>
      <c r="E1069" s="1" t="s">
        <v>96</v>
      </c>
      <c r="F1069" s="1" t="s">
        <v>103</v>
      </c>
      <c r="G1069" s="1" t="s">
        <v>114</v>
      </c>
      <c r="H1069" s="1" t="s">
        <v>892</v>
      </c>
      <c r="I1069" s="1" t="s">
        <v>194</v>
      </c>
      <c r="J1069" s="1" t="s">
        <v>101</v>
      </c>
      <c r="K1069" s="1" t="s">
        <v>116</v>
      </c>
      <c r="L1069" s="1">
        <v>2761048</v>
      </c>
      <c r="M1069" s="1" t="s">
        <v>1224</v>
      </c>
      <c r="N1069" s="8">
        <f t="shared" si="363"/>
        <v>44256</v>
      </c>
      <c r="O1069" s="8">
        <f t="shared" si="364"/>
        <v>45352</v>
      </c>
      <c r="P1069" s="1">
        <v>3424</v>
      </c>
      <c r="Q1069" s="1">
        <v>1200</v>
      </c>
      <c r="R1069" s="1">
        <f t="shared" si="340"/>
        <v>3200</v>
      </c>
      <c r="S1069" s="1">
        <v>2.5</v>
      </c>
      <c r="U1069" s="1">
        <f t="shared" si="341"/>
        <v>1097</v>
      </c>
      <c r="V1069" s="7">
        <f t="shared" si="342"/>
        <v>2.917046490428441</v>
      </c>
      <c r="W1069" s="7">
        <f t="shared" si="343"/>
        <v>1064.721969006381</v>
      </c>
      <c r="X1069" s="7">
        <f t="shared" si="344"/>
        <v>1.3309024612579763</v>
      </c>
      <c r="AA1069" s="8">
        <f t="shared" si="345"/>
        <v>44927</v>
      </c>
      <c r="AB1069" s="8">
        <f t="shared" si="346"/>
        <v>45291</v>
      </c>
      <c r="AC1069" s="1">
        <v>29</v>
      </c>
      <c r="AD1069" s="1">
        <f t="shared" si="347"/>
        <v>365</v>
      </c>
      <c r="AE1069" s="1">
        <f t="shared" si="348"/>
        <v>0</v>
      </c>
      <c r="AF1069" s="1">
        <f t="shared" si="349"/>
        <v>0</v>
      </c>
      <c r="AG1069" s="1">
        <f t="shared" si="350"/>
        <v>0</v>
      </c>
      <c r="AH1069" s="1">
        <f t="shared" si="351"/>
        <v>0</v>
      </c>
      <c r="AI1069" s="5">
        <f t="shared" si="352"/>
        <v>1</v>
      </c>
      <c r="AJ1069" s="5">
        <f t="shared" si="353"/>
        <v>1.3309024612579763</v>
      </c>
      <c r="AK1069" s="5">
        <f t="shared" si="354"/>
        <v>38.596171376481315</v>
      </c>
      <c r="AL1069" s="5">
        <f t="shared" si="355"/>
        <v>96.490428441203292</v>
      </c>
      <c r="AM1069" s="5">
        <f t="shared" si="356"/>
        <v>0</v>
      </c>
      <c r="AN1069" s="5">
        <f t="shared" si="357"/>
        <v>96.490428441203292</v>
      </c>
      <c r="AO1069" s="1" t="s">
        <v>102</v>
      </c>
    </row>
    <row r="1070" spans="1:41" x14ac:dyDescent="0.25">
      <c r="A1070" s="1" t="s">
        <v>19</v>
      </c>
      <c r="B1070" s="1" t="s">
        <v>50</v>
      </c>
      <c r="C1070" s="1" t="s">
        <v>21</v>
      </c>
      <c r="D1070" s="1" t="s">
        <v>51</v>
      </c>
      <c r="E1070" s="1" t="s">
        <v>96</v>
      </c>
      <c r="F1070" s="1" t="s">
        <v>103</v>
      </c>
      <c r="G1070" s="1" t="s">
        <v>114</v>
      </c>
      <c r="H1070" s="1" t="s">
        <v>115</v>
      </c>
      <c r="I1070" s="1" t="s">
        <v>100</v>
      </c>
      <c r="J1070" s="1" t="s">
        <v>101</v>
      </c>
      <c r="K1070" s="1" t="s">
        <v>382</v>
      </c>
      <c r="L1070" s="1">
        <v>2761051</v>
      </c>
      <c r="M1070" s="1" t="s">
        <v>1225</v>
      </c>
      <c r="N1070" s="8">
        <f t="shared" si="363"/>
        <v>44256</v>
      </c>
      <c r="O1070" s="8">
        <f t="shared" si="364"/>
        <v>45352</v>
      </c>
      <c r="P1070" s="1">
        <v>2444</v>
      </c>
      <c r="Q1070" s="1">
        <v>800</v>
      </c>
      <c r="R1070" s="1">
        <f t="shared" si="340"/>
        <v>2400</v>
      </c>
      <c r="S1070" s="1">
        <v>2.5</v>
      </c>
      <c r="U1070" s="1">
        <f t="shared" si="341"/>
        <v>1097</v>
      </c>
      <c r="V1070" s="7">
        <f t="shared" si="342"/>
        <v>2.187784867821331</v>
      </c>
      <c r="W1070" s="7">
        <f t="shared" si="343"/>
        <v>798.54147675478578</v>
      </c>
      <c r="X1070" s="7">
        <f t="shared" si="344"/>
        <v>0.99817684594348222</v>
      </c>
      <c r="AA1070" s="8">
        <f t="shared" si="345"/>
        <v>44927</v>
      </c>
      <c r="AB1070" s="8">
        <f t="shared" si="346"/>
        <v>45291</v>
      </c>
      <c r="AC1070" s="1">
        <v>12</v>
      </c>
      <c r="AD1070" s="1">
        <f t="shared" si="347"/>
        <v>365</v>
      </c>
      <c r="AE1070" s="1">
        <f t="shared" si="348"/>
        <v>0</v>
      </c>
      <c r="AF1070" s="1">
        <f t="shared" si="349"/>
        <v>0</v>
      </c>
      <c r="AG1070" s="1">
        <f t="shared" si="350"/>
        <v>0</v>
      </c>
      <c r="AH1070" s="1">
        <f t="shared" si="351"/>
        <v>0</v>
      </c>
      <c r="AI1070" s="5">
        <f t="shared" si="352"/>
        <v>1</v>
      </c>
      <c r="AJ1070" s="5">
        <f t="shared" si="353"/>
        <v>0.99817684594348222</v>
      </c>
      <c r="AK1070" s="5">
        <f t="shared" si="354"/>
        <v>11.978122151321786</v>
      </c>
      <c r="AL1070" s="5">
        <f t="shared" si="355"/>
        <v>29.945305378304464</v>
      </c>
      <c r="AM1070" s="5">
        <f t="shared" si="356"/>
        <v>0</v>
      </c>
      <c r="AN1070" s="5">
        <f t="shared" si="357"/>
        <v>29.945305378304464</v>
      </c>
      <c r="AO1070" s="1" t="s">
        <v>102</v>
      </c>
    </row>
    <row r="1071" spans="1:41" x14ac:dyDescent="0.25">
      <c r="A1071" s="1" t="s">
        <v>19</v>
      </c>
      <c r="B1071" s="1" t="s">
        <v>50</v>
      </c>
      <c r="C1071" s="1" t="s">
        <v>21</v>
      </c>
      <c r="D1071" s="1" t="s">
        <v>51</v>
      </c>
      <c r="E1071" s="1" t="s">
        <v>96</v>
      </c>
      <c r="F1071" s="1" t="s">
        <v>103</v>
      </c>
      <c r="G1071" s="1" t="s">
        <v>127</v>
      </c>
      <c r="H1071" s="1" t="s">
        <v>1143</v>
      </c>
      <c r="I1071" s="1" t="s">
        <v>162</v>
      </c>
      <c r="J1071" s="1" t="s">
        <v>101</v>
      </c>
      <c r="L1071" s="1">
        <v>2761053</v>
      </c>
      <c r="M1071" s="1" t="s">
        <v>1226</v>
      </c>
      <c r="N1071" s="8">
        <f t="shared" si="363"/>
        <v>44256</v>
      </c>
      <c r="O1071" s="8">
        <f t="shared" si="364"/>
        <v>45352</v>
      </c>
      <c r="P1071" s="1">
        <v>2140</v>
      </c>
      <c r="Q1071" s="1">
        <v>2000</v>
      </c>
      <c r="R1071" s="1">
        <f t="shared" si="340"/>
        <v>2000</v>
      </c>
      <c r="S1071" s="1">
        <v>1.5</v>
      </c>
      <c r="U1071" s="1">
        <f t="shared" si="341"/>
        <v>1097</v>
      </c>
      <c r="V1071" s="7">
        <f t="shared" si="342"/>
        <v>1.8231540565177757</v>
      </c>
      <c r="W1071" s="7">
        <f t="shared" si="343"/>
        <v>665.45123062898813</v>
      </c>
      <c r="X1071" s="7">
        <f t="shared" si="344"/>
        <v>0.83181403828623512</v>
      </c>
      <c r="AA1071" s="8">
        <f t="shared" si="345"/>
        <v>44927</v>
      </c>
      <c r="AB1071" s="8">
        <f t="shared" si="346"/>
        <v>45291</v>
      </c>
      <c r="AC1071" s="1">
        <v>34</v>
      </c>
      <c r="AD1071" s="1">
        <f t="shared" si="347"/>
        <v>365</v>
      </c>
      <c r="AE1071" s="1">
        <f t="shared" si="348"/>
        <v>0</v>
      </c>
      <c r="AF1071" s="1">
        <f t="shared" si="349"/>
        <v>0</v>
      </c>
      <c r="AG1071" s="1">
        <f t="shared" si="350"/>
        <v>0</v>
      </c>
      <c r="AH1071" s="1">
        <f t="shared" si="351"/>
        <v>0</v>
      </c>
      <c r="AI1071" s="5">
        <f t="shared" si="352"/>
        <v>1</v>
      </c>
      <c r="AJ1071" s="5">
        <f t="shared" si="353"/>
        <v>0.83181403828623512</v>
      </c>
      <c r="AK1071" s="5">
        <f t="shared" si="354"/>
        <v>28.281677301731996</v>
      </c>
      <c r="AL1071" s="5">
        <f t="shared" si="355"/>
        <v>42.42251595259799</v>
      </c>
      <c r="AM1071" s="5">
        <f t="shared" si="356"/>
        <v>0</v>
      </c>
      <c r="AN1071" s="5">
        <f t="shared" si="357"/>
        <v>42.42251595259799</v>
      </c>
      <c r="AO1071" s="1" t="s">
        <v>102</v>
      </c>
    </row>
    <row r="1072" spans="1:41" x14ac:dyDescent="0.25">
      <c r="A1072" s="1" t="s">
        <v>19</v>
      </c>
      <c r="B1072" s="1" t="s">
        <v>50</v>
      </c>
      <c r="C1072" s="1" t="s">
        <v>21</v>
      </c>
      <c r="D1072" s="1" t="s">
        <v>51</v>
      </c>
      <c r="E1072" s="1" t="s">
        <v>96</v>
      </c>
      <c r="F1072" s="1" t="s">
        <v>103</v>
      </c>
      <c r="G1072" s="1" t="s">
        <v>320</v>
      </c>
      <c r="H1072" s="1" t="s">
        <v>491</v>
      </c>
      <c r="I1072" s="1" t="s">
        <v>174</v>
      </c>
      <c r="J1072" s="1" t="s">
        <v>101</v>
      </c>
      <c r="L1072" s="1">
        <v>2761054</v>
      </c>
      <c r="M1072" s="1" t="s">
        <v>1227</v>
      </c>
      <c r="N1072" s="8">
        <f t="shared" si="363"/>
        <v>44256</v>
      </c>
      <c r="O1072" s="8">
        <f>DATE(2025,2,27)</f>
        <v>45715</v>
      </c>
      <c r="P1072" s="1">
        <v>3200</v>
      </c>
      <c r="Q1072" s="1">
        <v>3200</v>
      </c>
      <c r="R1072" s="1">
        <f t="shared" si="340"/>
        <v>3200</v>
      </c>
      <c r="S1072" s="1">
        <v>2.5</v>
      </c>
      <c r="U1072" s="1">
        <f t="shared" si="341"/>
        <v>1460</v>
      </c>
      <c r="V1072" s="7">
        <f t="shared" si="342"/>
        <v>2.1917808219178081</v>
      </c>
      <c r="W1072" s="7">
        <f t="shared" si="343"/>
        <v>800</v>
      </c>
      <c r="X1072" s="7">
        <f t="shared" si="344"/>
        <v>1</v>
      </c>
      <c r="AA1072" s="8">
        <f t="shared" si="345"/>
        <v>44927</v>
      </c>
      <c r="AB1072" s="8">
        <f t="shared" si="346"/>
        <v>45291</v>
      </c>
      <c r="AC1072" s="1">
        <v>29</v>
      </c>
      <c r="AD1072" s="1">
        <f t="shared" si="347"/>
        <v>365</v>
      </c>
      <c r="AE1072" s="1">
        <f t="shared" si="348"/>
        <v>0</v>
      </c>
      <c r="AF1072" s="1">
        <f t="shared" si="349"/>
        <v>0</v>
      </c>
      <c r="AG1072" s="1">
        <f t="shared" si="350"/>
        <v>0</v>
      </c>
      <c r="AH1072" s="1">
        <f t="shared" si="351"/>
        <v>0</v>
      </c>
      <c r="AI1072" s="5">
        <f t="shared" si="352"/>
        <v>1</v>
      </c>
      <c r="AJ1072" s="5">
        <f t="shared" si="353"/>
        <v>1</v>
      </c>
      <c r="AK1072" s="5">
        <f t="shared" si="354"/>
        <v>29</v>
      </c>
      <c r="AL1072" s="5">
        <f t="shared" si="355"/>
        <v>72.5</v>
      </c>
      <c r="AM1072" s="5">
        <f t="shared" si="356"/>
        <v>0</v>
      </c>
      <c r="AN1072" s="5">
        <f t="shared" si="357"/>
        <v>72.5</v>
      </c>
      <c r="AO1072" s="1" t="s">
        <v>102</v>
      </c>
    </row>
    <row r="1073" spans="1:41" x14ac:dyDescent="0.25">
      <c r="A1073" s="1" t="s">
        <v>19</v>
      </c>
      <c r="B1073" s="1" t="s">
        <v>50</v>
      </c>
      <c r="C1073" s="1" t="s">
        <v>21</v>
      </c>
      <c r="D1073" s="1" t="s">
        <v>51</v>
      </c>
      <c r="E1073" s="1" t="s">
        <v>96</v>
      </c>
      <c r="F1073" s="1" t="s">
        <v>103</v>
      </c>
      <c r="G1073" s="1" t="s">
        <v>114</v>
      </c>
      <c r="H1073" s="1" t="s">
        <v>892</v>
      </c>
      <c r="I1073" s="1" t="s">
        <v>194</v>
      </c>
      <c r="J1073" s="1" t="s">
        <v>101</v>
      </c>
      <c r="K1073" s="1" t="s">
        <v>175</v>
      </c>
      <c r="L1073" s="1">
        <v>2799525</v>
      </c>
      <c r="M1073" s="1" t="s">
        <v>1228</v>
      </c>
      <c r="N1073" s="8">
        <f>DATE(2021,8,2)</f>
        <v>44410</v>
      </c>
      <c r="O1073" s="8">
        <f>DATE(2023,2,2)</f>
        <v>44959</v>
      </c>
      <c r="P1073" s="1">
        <v>1207</v>
      </c>
      <c r="Q1073" s="1">
        <v>1200</v>
      </c>
      <c r="R1073" s="1">
        <f t="shared" si="340"/>
        <v>1200</v>
      </c>
      <c r="S1073" s="1">
        <v>2.5</v>
      </c>
      <c r="U1073" s="1">
        <f t="shared" si="341"/>
        <v>550</v>
      </c>
      <c r="V1073" s="7">
        <f t="shared" si="342"/>
        <v>2.1818181818181817</v>
      </c>
      <c r="W1073" s="7">
        <f t="shared" si="343"/>
        <v>796.36363636363626</v>
      </c>
      <c r="X1073" s="7">
        <f t="shared" si="344"/>
        <v>0.99545454545454537</v>
      </c>
      <c r="AA1073" s="8">
        <f t="shared" si="345"/>
        <v>44927</v>
      </c>
      <c r="AB1073" s="8">
        <f t="shared" si="346"/>
        <v>45291</v>
      </c>
      <c r="AC1073" s="1">
        <v>27</v>
      </c>
      <c r="AD1073" s="1">
        <f t="shared" si="347"/>
        <v>0</v>
      </c>
      <c r="AE1073" s="1">
        <f t="shared" si="348"/>
        <v>0</v>
      </c>
      <c r="AF1073" s="1">
        <f t="shared" si="349"/>
        <v>33</v>
      </c>
      <c r="AG1073" s="1">
        <f t="shared" si="350"/>
        <v>0</v>
      </c>
      <c r="AH1073" s="1">
        <f t="shared" si="351"/>
        <v>0</v>
      </c>
      <c r="AI1073" s="5">
        <f t="shared" si="352"/>
        <v>9.0410958904109592E-2</v>
      </c>
      <c r="AJ1073" s="5">
        <f t="shared" si="353"/>
        <v>0.09</v>
      </c>
      <c r="AK1073" s="5">
        <f t="shared" si="354"/>
        <v>2.4299999999999997</v>
      </c>
      <c r="AL1073" s="5">
        <f t="shared" si="355"/>
        <v>6.0749999999999993</v>
      </c>
      <c r="AM1073" s="5">
        <f t="shared" si="356"/>
        <v>0</v>
      </c>
      <c r="AN1073" s="5">
        <f t="shared" si="357"/>
        <v>6.0749999999999993</v>
      </c>
      <c r="AO1073" s="1" t="s">
        <v>102</v>
      </c>
    </row>
    <row r="1074" spans="1:41" x14ac:dyDescent="0.25">
      <c r="A1074" s="1" t="s">
        <v>19</v>
      </c>
      <c r="B1074" s="1" t="s">
        <v>50</v>
      </c>
      <c r="C1074" s="1" t="s">
        <v>21</v>
      </c>
      <c r="D1074" s="1" t="s">
        <v>51</v>
      </c>
      <c r="E1074" s="1" t="s">
        <v>96</v>
      </c>
      <c r="F1074" s="1" t="s">
        <v>103</v>
      </c>
      <c r="G1074" s="1" t="s">
        <v>114</v>
      </c>
      <c r="H1074" s="1" t="s">
        <v>892</v>
      </c>
      <c r="I1074" s="1" t="s">
        <v>194</v>
      </c>
      <c r="J1074" s="1" t="s">
        <v>101</v>
      </c>
      <c r="K1074" s="1" t="s">
        <v>116</v>
      </c>
      <c r="L1074" s="1">
        <v>2850383</v>
      </c>
      <c r="M1074" s="1" t="s">
        <v>1229</v>
      </c>
      <c r="N1074" s="8">
        <f>DATE(2022,2,1)</f>
        <v>44593</v>
      </c>
      <c r="O1074" s="8">
        <f>DATE(2025,3,31)</f>
        <v>45747</v>
      </c>
      <c r="P1074" s="1">
        <v>3424</v>
      </c>
      <c r="Q1074" s="1">
        <v>1200</v>
      </c>
      <c r="R1074" s="1">
        <f t="shared" si="340"/>
        <v>3200</v>
      </c>
      <c r="S1074" s="1">
        <v>2.5</v>
      </c>
      <c r="U1074" s="1">
        <f t="shared" si="341"/>
        <v>1155</v>
      </c>
      <c r="V1074" s="7">
        <f t="shared" si="342"/>
        <v>2.7705627705627704</v>
      </c>
      <c r="W1074" s="7">
        <f t="shared" si="343"/>
        <v>1011.2554112554112</v>
      </c>
      <c r="X1074" s="7">
        <f t="shared" si="344"/>
        <v>1.2640692640692641</v>
      </c>
      <c r="AA1074" s="8">
        <f t="shared" si="345"/>
        <v>44927</v>
      </c>
      <c r="AB1074" s="8">
        <f t="shared" si="346"/>
        <v>45291</v>
      </c>
      <c r="AC1074" s="1">
        <v>54</v>
      </c>
      <c r="AD1074" s="1">
        <f t="shared" si="347"/>
        <v>365</v>
      </c>
      <c r="AE1074" s="1">
        <f t="shared" si="348"/>
        <v>0</v>
      </c>
      <c r="AF1074" s="1">
        <f t="shared" si="349"/>
        <v>0</v>
      </c>
      <c r="AG1074" s="1">
        <f t="shared" si="350"/>
        <v>0</v>
      </c>
      <c r="AH1074" s="1">
        <f t="shared" si="351"/>
        <v>0</v>
      </c>
      <c r="AI1074" s="5">
        <f t="shared" si="352"/>
        <v>1</v>
      </c>
      <c r="AJ1074" s="5">
        <f t="shared" si="353"/>
        <v>1.2640692640692641</v>
      </c>
      <c r="AK1074" s="5">
        <f t="shared" si="354"/>
        <v>68.259740259740269</v>
      </c>
      <c r="AL1074" s="5">
        <f t="shared" si="355"/>
        <v>170.64935064935068</v>
      </c>
      <c r="AM1074" s="5">
        <f t="shared" si="356"/>
        <v>0</v>
      </c>
      <c r="AN1074" s="5">
        <f t="shared" si="357"/>
        <v>170.64935064935068</v>
      </c>
      <c r="AO1074" s="1" t="s">
        <v>102</v>
      </c>
    </row>
    <row r="1075" spans="1:41" x14ac:dyDescent="0.25">
      <c r="A1075" s="1" t="s">
        <v>19</v>
      </c>
      <c r="B1075" s="1" t="s">
        <v>50</v>
      </c>
      <c r="C1075" s="1" t="s">
        <v>21</v>
      </c>
      <c r="D1075" s="1" t="s">
        <v>51</v>
      </c>
      <c r="E1075" s="1" t="s">
        <v>96</v>
      </c>
      <c r="F1075" s="1" t="s">
        <v>103</v>
      </c>
      <c r="G1075" s="1" t="s">
        <v>114</v>
      </c>
      <c r="H1075" s="1" t="s">
        <v>260</v>
      </c>
      <c r="I1075" s="1" t="s">
        <v>100</v>
      </c>
      <c r="J1075" s="1" t="s">
        <v>101</v>
      </c>
      <c r="K1075" s="1" t="s">
        <v>116</v>
      </c>
      <c r="L1075" s="1">
        <v>2846526</v>
      </c>
      <c r="M1075" s="1" t="s">
        <v>1230</v>
      </c>
      <c r="N1075" s="8">
        <f>DATE(2022,2,10)</f>
        <v>44602</v>
      </c>
      <c r="O1075" s="8">
        <f>DATE(2025,2,10)</f>
        <v>45698</v>
      </c>
      <c r="P1075" s="1">
        <v>3186</v>
      </c>
      <c r="Q1075" s="1">
        <v>800</v>
      </c>
      <c r="R1075" s="1">
        <f t="shared" si="340"/>
        <v>3000</v>
      </c>
      <c r="S1075" s="1">
        <v>1.5</v>
      </c>
      <c r="U1075" s="1">
        <f t="shared" si="341"/>
        <v>1097</v>
      </c>
      <c r="V1075" s="7">
        <f t="shared" si="342"/>
        <v>2.7347310847766635</v>
      </c>
      <c r="W1075" s="7">
        <f t="shared" si="343"/>
        <v>998.17684594348214</v>
      </c>
      <c r="X1075" s="7">
        <f t="shared" si="344"/>
        <v>1.2477210574293527</v>
      </c>
      <c r="AA1075" s="8">
        <f t="shared" si="345"/>
        <v>44927</v>
      </c>
      <c r="AB1075" s="8">
        <f t="shared" si="346"/>
        <v>45291</v>
      </c>
      <c r="AC1075" s="1">
        <v>32</v>
      </c>
      <c r="AD1075" s="1">
        <f t="shared" si="347"/>
        <v>365</v>
      </c>
      <c r="AE1075" s="1">
        <f t="shared" si="348"/>
        <v>0</v>
      </c>
      <c r="AF1075" s="1">
        <f t="shared" si="349"/>
        <v>0</v>
      </c>
      <c r="AG1075" s="1">
        <f t="shared" si="350"/>
        <v>0</v>
      </c>
      <c r="AH1075" s="1">
        <f t="shared" si="351"/>
        <v>0</v>
      </c>
      <c r="AI1075" s="5">
        <f t="shared" si="352"/>
        <v>1</v>
      </c>
      <c r="AJ1075" s="5">
        <f t="shared" si="353"/>
        <v>1.2477210574293527</v>
      </c>
      <c r="AK1075" s="5">
        <f t="shared" si="354"/>
        <v>39.927073837739286</v>
      </c>
      <c r="AL1075" s="5">
        <f t="shared" si="355"/>
        <v>59.890610756608929</v>
      </c>
      <c r="AM1075" s="5">
        <f t="shared" si="356"/>
        <v>0</v>
      </c>
      <c r="AN1075" s="5">
        <f t="shared" si="357"/>
        <v>59.890610756608929</v>
      </c>
      <c r="AO1075" s="1" t="s">
        <v>102</v>
      </c>
    </row>
    <row r="1076" spans="1:41" x14ac:dyDescent="0.25">
      <c r="A1076" s="1" t="s">
        <v>19</v>
      </c>
      <c r="B1076" s="1" t="s">
        <v>50</v>
      </c>
      <c r="C1076" s="1" t="s">
        <v>21</v>
      </c>
      <c r="D1076" s="1" t="s">
        <v>51</v>
      </c>
      <c r="E1076" s="1" t="s">
        <v>96</v>
      </c>
      <c r="F1076" s="1" t="s">
        <v>103</v>
      </c>
      <c r="G1076" s="1" t="s">
        <v>114</v>
      </c>
      <c r="H1076" s="1" t="s">
        <v>254</v>
      </c>
      <c r="I1076" s="1" t="s">
        <v>255</v>
      </c>
      <c r="J1076" s="1" t="s">
        <v>101</v>
      </c>
      <c r="K1076" s="1" t="s">
        <v>116</v>
      </c>
      <c r="L1076" s="1">
        <v>2847431</v>
      </c>
      <c r="M1076" s="1" t="s">
        <v>1231</v>
      </c>
      <c r="N1076" s="8">
        <f>DATE(2022,2,10)</f>
        <v>44602</v>
      </c>
      <c r="O1076" s="8">
        <f>DATE(2025,3,10)</f>
        <v>45726</v>
      </c>
      <c r="P1076" s="1">
        <v>3424</v>
      </c>
      <c r="Q1076" s="1">
        <v>1200</v>
      </c>
      <c r="R1076" s="1">
        <f t="shared" si="340"/>
        <v>3200</v>
      </c>
      <c r="S1076" s="1">
        <v>2.5</v>
      </c>
      <c r="U1076" s="1">
        <f t="shared" si="341"/>
        <v>1125</v>
      </c>
      <c r="V1076" s="7">
        <f t="shared" si="342"/>
        <v>2.8444444444444446</v>
      </c>
      <c r="W1076" s="7">
        <f t="shared" si="343"/>
        <v>1038.2222222222222</v>
      </c>
      <c r="X1076" s="7">
        <f t="shared" si="344"/>
        <v>1.2977777777777777</v>
      </c>
      <c r="AA1076" s="8">
        <f t="shared" si="345"/>
        <v>44927</v>
      </c>
      <c r="AB1076" s="8">
        <f t="shared" si="346"/>
        <v>45291</v>
      </c>
      <c r="AC1076" s="1">
        <v>27</v>
      </c>
      <c r="AD1076" s="1">
        <f t="shared" si="347"/>
        <v>365</v>
      </c>
      <c r="AE1076" s="1">
        <f t="shared" si="348"/>
        <v>0</v>
      </c>
      <c r="AF1076" s="1">
        <f t="shared" si="349"/>
        <v>0</v>
      </c>
      <c r="AG1076" s="1">
        <f t="shared" si="350"/>
        <v>0</v>
      </c>
      <c r="AH1076" s="1">
        <f t="shared" si="351"/>
        <v>0</v>
      </c>
      <c r="AI1076" s="5">
        <f t="shared" si="352"/>
        <v>1</v>
      </c>
      <c r="AJ1076" s="5">
        <f t="shared" si="353"/>
        <v>1.2977777777777777</v>
      </c>
      <c r="AK1076" s="5">
        <f t="shared" si="354"/>
        <v>35.04</v>
      </c>
      <c r="AL1076" s="5">
        <f t="shared" si="355"/>
        <v>87.6</v>
      </c>
      <c r="AM1076" s="5">
        <f t="shared" si="356"/>
        <v>0</v>
      </c>
      <c r="AN1076" s="5">
        <f t="shared" si="357"/>
        <v>87.6</v>
      </c>
      <c r="AO1076" s="1" t="s">
        <v>102</v>
      </c>
    </row>
    <row r="1077" spans="1:41" x14ac:dyDescent="0.25">
      <c r="A1077" s="1" t="s">
        <v>19</v>
      </c>
      <c r="B1077" s="1" t="s">
        <v>50</v>
      </c>
      <c r="C1077" s="1" t="s">
        <v>21</v>
      </c>
      <c r="D1077" s="1" t="s">
        <v>51</v>
      </c>
      <c r="E1077" s="1" t="s">
        <v>96</v>
      </c>
      <c r="F1077" s="1" t="s">
        <v>103</v>
      </c>
      <c r="G1077" s="1" t="s">
        <v>114</v>
      </c>
      <c r="H1077" s="1" t="s">
        <v>247</v>
      </c>
      <c r="I1077" s="1" t="s">
        <v>162</v>
      </c>
      <c r="J1077" s="1" t="s">
        <v>101</v>
      </c>
      <c r="K1077" s="1" t="s">
        <v>116</v>
      </c>
      <c r="L1077" s="1">
        <v>2847493</v>
      </c>
      <c r="M1077" s="1" t="s">
        <v>1232</v>
      </c>
      <c r="N1077" s="8">
        <f>DATE(2022,2,10)</f>
        <v>44602</v>
      </c>
      <c r="O1077" s="8">
        <f>DATE(2025,2,10)</f>
        <v>45698</v>
      </c>
      <c r="P1077" s="1">
        <v>3671</v>
      </c>
      <c r="Q1077" s="1">
        <v>1200</v>
      </c>
      <c r="R1077" s="1">
        <f t="shared" si="340"/>
        <v>3200</v>
      </c>
      <c r="S1077" s="1">
        <v>1.5</v>
      </c>
      <c r="U1077" s="1">
        <f t="shared" si="341"/>
        <v>1097</v>
      </c>
      <c r="V1077" s="7">
        <f t="shared" si="342"/>
        <v>2.917046490428441</v>
      </c>
      <c r="W1077" s="7">
        <f t="shared" si="343"/>
        <v>1064.721969006381</v>
      </c>
      <c r="X1077" s="7">
        <f t="shared" si="344"/>
        <v>1.3309024612579763</v>
      </c>
      <c r="AA1077" s="8">
        <f t="shared" si="345"/>
        <v>44927</v>
      </c>
      <c r="AB1077" s="8">
        <f t="shared" si="346"/>
        <v>45291</v>
      </c>
      <c r="AC1077" s="1">
        <v>46</v>
      </c>
      <c r="AD1077" s="1">
        <f t="shared" si="347"/>
        <v>365</v>
      </c>
      <c r="AE1077" s="1">
        <f t="shared" si="348"/>
        <v>0</v>
      </c>
      <c r="AF1077" s="1">
        <f t="shared" si="349"/>
        <v>0</v>
      </c>
      <c r="AG1077" s="1">
        <f t="shared" si="350"/>
        <v>0</v>
      </c>
      <c r="AH1077" s="1">
        <f t="shared" si="351"/>
        <v>0</v>
      </c>
      <c r="AI1077" s="5">
        <f t="shared" si="352"/>
        <v>1</v>
      </c>
      <c r="AJ1077" s="5">
        <f t="shared" si="353"/>
        <v>1.3309024612579763</v>
      </c>
      <c r="AK1077" s="5">
        <f t="shared" si="354"/>
        <v>61.221513217866907</v>
      </c>
      <c r="AL1077" s="5">
        <f t="shared" si="355"/>
        <v>91.832269826800356</v>
      </c>
      <c r="AM1077" s="5">
        <f t="shared" si="356"/>
        <v>0</v>
      </c>
      <c r="AN1077" s="5">
        <f t="shared" si="357"/>
        <v>91.832269826800356</v>
      </c>
      <c r="AO1077" s="1" t="s">
        <v>102</v>
      </c>
    </row>
    <row r="1078" spans="1:41" x14ac:dyDescent="0.25">
      <c r="A1078" s="1" t="s">
        <v>19</v>
      </c>
      <c r="B1078" s="1" t="s">
        <v>50</v>
      </c>
      <c r="C1078" s="1" t="s">
        <v>21</v>
      </c>
      <c r="D1078" s="1" t="s">
        <v>51</v>
      </c>
      <c r="E1078" s="1" t="s">
        <v>96</v>
      </c>
      <c r="F1078" s="1" t="s">
        <v>103</v>
      </c>
      <c r="G1078" s="1" t="s">
        <v>127</v>
      </c>
      <c r="H1078" s="1" t="s">
        <v>1143</v>
      </c>
      <c r="I1078" s="1" t="s">
        <v>162</v>
      </c>
      <c r="J1078" s="1" t="s">
        <v>101</v>
      </c>
      <c r="L1078" s="1">
        <v>2848144</v>
      </c>
      <c r="M1078" s="1" t="s">
        <v>1233</v>
      </c>
      <c r="N1078" s="8">
        <f>DATE(2022,2,10)</f>
        <v>44602</v>
      </c>
      <c r="O1078" s="8">
        <f>DATE(2025,2,10)</f>
        <v>45698</v>
      </c>
      <c r="P1078" s="1">
        <v>2140</v>
      </c>
      <c r="Q1078" s="1">
        <v>2000</v>
      </c>
      <c r="R1078" s="1">
        <f t="shared" si="340"/>
        <v>2000</v>
      </c>
      <c r="S1078" s="1">
        <v>1.5</v>
      </c>
      <c r="U1078" s="1">
        <f t="shared" si="341"/>
        <v>1097</v>
      </c>
      <c r="V1078" s="7">
        <f t="shared" si="342"/>
        <v>1.8231540565177757</v>
      </c>
      <c r="W1078" s="7">
        <f t="shared" si="343"/>
        <v>665.45123062898813</v>
      </c>
      <c r="X1078" s="7">
        <f t="shared" si="344"/>
        <v>0.83181403828623512</v>
      </c>
      <c r="AA1078" s="8">
        <f t="shared" si="345"/>
        <v>44927</v>
      </c>
      <c r="AB1078" s="8">
        <f t="shared" si="346"/>
        <v>45291</v>
      </c>
      <c r="AC1078" s="1">
        <v>26</v>
      </c>
      <c r="AD1078" s="1">
        <f t="shared" si="347"/>
        <v>365</v>
      </c>
      <c r="AE1078" s="1">
        <f t="shared" si="348"/>
        <v>0</v>
      </c>
      <c r="AF1078" s="1">
        <f t="shared" si="349"/>
        <v>0</v>
      </c>
      <c r="AG1078" s="1">
        <f t="shared" si="350"/>
        <v>0</v>
      </c>
      <c r="AH1078" s="1">
        <f t="shared" si="351"/>
        <v>0</v>
      </c>
      <c r="AI1078" s="5">
        <f t="shared" si="352"/>
        <v>1</v>
      </c>
      <c r="AJ1078" s="5">
        <f t="shared" si="353"/>
        <v>0.83181403828623512</v>
      </c>
      <c r="AK1078" s="5">
        <f t="shared" si="354"/>
        <v>21.627164995442115</v>
      </c>
      <c r="AL1078" s="5">
        <f t="shared" si="355"/>
        <v>32.440747493163173</v>
      </c>
      <c r="AM1078" s="5">
        <f t="shared" si="356"/>
        <v>0</v>
      </c>
      <c r="AN1078" s="5">
        <f t="shared" si="357"/>
        <v>32.440747493163173</v>
      </c>
      <c r="AO1078" s="1" t="s">
        <v>102</v>
      </c>
    </row>
    <row r="1079" spans="1:41" x14ac:dyDescent="0.25">
      <c r="A1079" s="1" t="s">
        <v>19</v>
      </c>
      <c r="B1079" s="1" t="s">
        <v>50</v>
      </c>
      <c r="C1079" s="1" t="s">
        <v>21</v>
      </c>
      <c r="D1079" s="1" t="s">
        <v>51</v>
      </c>
      <c r="E1079" s="1" t="s">
        <v>96</v>
      </c>
      <c r="F1079" s="1" t="s">
        <v>103</v>
      </c>
      <c r="G1079" s="1" t="s">
        <v>320</v>
      </c>
      <c r="H1079" s="1" t="s">
        <v>491</v>
      </c>
      <c r="I1079" s="1" t="s">
        <v>174</v>
      </c>
      <c r="J1079" s="1" t="s">
        <v>101</v>
      </c>
      <c r="L1079" s="1">
        <v>2848160</v>
      </c>
      <c r="M1079" s="1" t="s">
        <v>1234</v>
      </c>
      <c r="N1079" s="8">
        <f>DATE(2022,2,10)</f>
        <v>44602</v>
      </c>
      <c r="O1079" s="8">
        <f>DATE(2026,2,8)</f>
        <v>46061</v>
      </c>
      <c r="P1079" s="1">
        <v>3200</v>
      </c>
      <c r="Q1079" s="1">
        <v>3200</v>
      </c>
      <c r="R1079" s="1">
        <f t="shared" si="340"/>
        <v>3200</v>
      </c>
      <c r="S1079" s="1">
        <v>2.5</v>
      </c>
      <c r="U1079" s="1">
        <f t="shared" si="341"/>
        <v>1460</v>
      </c>
      <c r="V1079" s="7">
        <f t="shared" si="342"/>
        <v>2.1917808219178081</v>
      </c>
      <c r="W1079" s="7">
        <f t="shared" si="343"/>
        <v>800</v>
      </c>
      <c r="X1079" s="7">
        <f t="shared" si="344"/>
        <v>1</v>
      </c>
      <c r="AA1079" s="8">
        <f t="shared" si="345"/>
        <v>44927</v>
      </c>
      <c r="AB1079" s="8">
        <f t="shared" si="346"/>
        <v>45291</v>
      </c>
      <c r="AC1079" s="1">
        <v>12</v>
      </c>
      <c r="AD1079" s="1">
        <f t="shared" si="347"/>
        <v>365</v>
      </c>
      <c r="AE1079" s="1">
        <f t="shared" si="348"/>
        <v>0</v>
      </c>
      <c r="AF1079" s="1">
        <f t="shared" si="349"/>
        <v>0</v>
      </c>
      <c r="AG1079" s="1">
        <f t="shared" si="350"/>
        <v>0</v>
      </c>
      <c r="AH1079" s="1">
        <f t="shared" si="351"/>
        <v>0</v>
      </c>
      <c r="AI1079" s="5">
        <f t="shared" si="352"/>
        <v>1</v>
      </c>
      <c r="AJ1079" s="5">
        <f t="shared" si="353"/>
        <v>1</v>
      </c>
      <c r="AK1079" s="5">
        <f t="shared" si="354"/>
        <v>12</v>
      </c>
      <c r="AL1079" s="5">
        <f t="shared" si="355"/>
        <v>30</v>
      </c>
      <c r="AM1079" s="5">
        <f t="shared" si="356"/>
        <v>0</v>
      </c>
      <c r="AN1079" s="5">
        <f t="shared" si="357"/>
        <v>30</v>
      </c>
      <c r="AO1079" s="1" t="s">
        <v>102</v>
      </c>
    </row>
    <row r="1080" spans="1:41" x14ac:dyDescent="0.25">
      <c r="A1080" s="1" t="s">
        <v>19</v>
      </c>
      <c r="B1080" s="1" t="s">
        <v>50</v>
      </c>
      <c r="C1080" s="1" t="s">
        <v>21</v>
      </c>
      <c r="D1080" s="1" t="s">
        <v>51</v>
      </c>
      <c r="E1080" s="1" t="s">
        <v>172</v>
      </c>
      <c r="F1080" s="1" t="s">
        <v>103</v>
      </c>
      <c r="G1080" s="1" t="s">
        <v>155</v>
      </c>
      <c r="H1080" s="1" t="s">
        <v>159</v>
      </c>
      <c r="I1080" s="1" t="s">
        <v>100</v>
      </c>
      <c r="J1080" s="1" t="s">
        <v>101</v>
      </c>
      <c r="K1080" s="1" t="s">
        <v>116</v>
      </c>
      <c r="L1080" s="1">
        <v>2913648</v>
      </c>
      <c r="M1080" s="1" t="s">
        <v>1235</v>
      </c>
      <c r="N1080" s="8">
        <f>DATE(2022,8,2)</f>
        <v>44775</v>
      </c>
      <c r="O1080" s="8">
        <f>DATE(2022,12,20)</f>
        <v>44915</v>
      </c>
      <c r="P1080" s="1">
        <v>220</v>
      </c>
      <c r="Q1080" s="1">
        <v>160</v>
      </c>
      <c r="R1080" s="1">
        <f t="shared" si="340"/>
        <v>220</v>
      </c>
      <c r="S1080" s="1">
        <v>1.5</v>
      </c>
      <c r="U1080" s="1">
        <f t="shared" si="341"/>
        <v>141</v>
      </c>
      <c r="V1080" s="7">
        <f t="shared" si="342"/>
        <v>1.5602836879432624</v>
      </c>
      <c r="W1080" s="7">
        <f t="shared" si="343"/>
        <v>220</v>
      </c>
      <c r="X1080" s="7">
        <f t="shared" si="344"/>
        <v>0.27500000000000002</v>
      </c>
      <c r="AA1080" s="8">
        <f t="shared" si="345"/>
        <v>44927</v>
      </c>
      <c r="AB1080" s="8">
        <f t="shared" si="346"/>
        <v>45291</v>
      </c>
      <c r="AC1080" s="1">
        <v>57</v>
      </c>
      <c r="AD1080" s="1">
        <f t="shared" si="347"/>
        <v>0</v>
      </c>
      <c r="AE1080" s="1">
        <f t="shared" si="348"/>
        <v>0</v>
      </c>
      <c r="AF1080" s="1">
        <f t="shared" si="349"/>
        <v>0</v>
      </c>
      <c r="AG1080" s="1">
        <f t="shared" si="350"/>
        <v>0</v>
      </c>
      <c r="AH1080" s="1">
        <f t="shared" si="351"/>
        <v>182.5</v>
      </c>
      <c r="AI1080" s="5">
        <f t="shared" si="352"/>
        <v>1.2943262411347518</v>
      </c>
      <c r="AJ1080" s="5">
        <f t="shared" si="353"/>
        <v>0.35593971631205679</v>
      </c>
      <c r="AK1080" s="5">
        <f t="shared" si="354"/>
        <v>10.144281914893618</v>
      </c>
      <c r="AL1080" s="5">
        <f t="shared" si="355"/>
        <v>15.216422872340427</v>
      </c>
      <c r="AM1080" s="5">
        <f t="shared" si="356"/>
        <v>0</v>
      </c>
      <c r="AN1080" s="5">
        <f t="shared" si="357"/>
        <v>15.216422872340427</v>
      </c>
      <c r="AO1080" s="1" t="s">
        <v>122</v>
      </c>
    </row>
    <row r="1081" spans="1:41" x14ac:dyDescent="0.25">
      <c r="A1081" s="1" t="s">
        <v>19</v>
      </c>
      <c r="B1081" s="1" t="s">
        <v>50</v>
      </c>
      <c r="C1081" s="1" t="s">
        <v>21</v>
      </c>
      <c r="D1081" s="1" t="s">
        <v>51</v>
      </c>
      <c r="E1081" s="1" t="s">
        <v>96</v>
      </c>
      <c r="F1081" s="1" t="s">
        <v>103</v>
      </c>
      <c r="G1081" s="1" t="s">
        <v>114</v>
      </c>
      <c r="H1081" s="1" t="s">
        <v>254</v>
      </c>
      <c r="I1081" s="1" t="s">
        <v>255</v>
      </c>
      <c r="J1081" s="1" t="s">
        <v>101</v>
      </c>
      <c r="K1081" s="1" t="s">
        <v>116</v>
      </c>
      <c r="L1081" s="1">
        <v>2970520</v>
      </c>
      <c r="M1081" s="1" t="s">
        <v>1236</v>
      </c>
      <c r="N1081" s="8">
        <f t="shared" ref="N1081:N1087" si="365">DATE(2023,2,9)</f>
        <v>44966</v>
      </c>
      <c r="O1081" s="8">
        <f>DATE(2026,2,9)</f>
        <v>46062</v>
      </c>
      <c r="P1081" s="1">
        <v>3424</v>
      </c>
      <c r="Q1081" s="1">
        <v>1200</v>
      </c>
      <c r="R1081" s="1">
        <f t="shared" ref="R1081:R1144" si="366">IF(OR(G1081="QUALIFICACAO PROFISSIONAL (FIC)",G1081="DOUTORADO"),P1081,
    IF(ISNUMBER(FIND("PROEJA",K1081)),2400,
        IF(K1081="INTEGRADO",
            IF(Q1081=800,3000,
                IF(Q1081=1000,3100,
                    IF(Q1081=1200,3200,Q1081)
                )
            ),
            Q1081
        )
    )
)</f>
        <v>3200</v>
      </c>
      <c r="S1081" s="1">
        <v>2.5</v>
      </c>
      <c r="U1081" s="1">
        <f t="shared" ref="U1081:U1144" si="367">O1081-N1081+1</f>
        <v>1097</v>
      </c>
      <c r="V1081" s="7">
        <f t="shared" ref="V1081:V1144" si="368">IF(R1081&gt;P1081,P1081,R1081)/U1081</f>
        <v>2.917046490428441</v>
      </c>
      <c r="W1081" s="7">
        <f t="shared" ref="W1081:W1144" si="369">IF(U1081&gt;365,V1081*365,R1081)</f>
        <v>1064.721969006381</v>
      </c>
      <c r="X1081" s="7">
        <f t="shared" ref="X1081:X1144" si="370">IF(U1081&gt;365,W1081/800,R1081/800)</f>
        <v>1.3309024612579763</v>
      </c>
      <c r="AA1081" s="8">
        <f t="shared" ref="AA1081:AA1144" si="371">DATE(2023,1,1)</f>
        <v>44927</v>
      </c>
      <c r="AB1081" s="8">
        <f t="shared" ref="AB1081:AB1144" si="372">DATE(2023,12,31)</f>
        <v>45291</v>
      </c>
      <c r="AC1081" s="1">
        <v>67</v>
      </c>
      <c r="AD1081" s="1">
        <f t="shared" ref="AD1081:AD1144" si="373">IF(AND(N1081&lt;AA1081,O1081&gt;AB1081),AB1081-AA1081+1,0)</f>
        <v>0</v>
      </c>
      <c r="AE1081" s="1">
        <f t="shared" ref="AE1081:AE1144" si="374">IF(AND(N1081&gt;=AA1081,O1081&gt;AB1081,N1081&lt;AB1081),AB1081-N1081+1,0)</f>
        <v>326</v>
      </c>
      <c r="AF1081" s="1">
        <f t="shared" ref="AF1081:AF1144" si="375">IF(AND(N1081&lt;AA1081,O1081&lt;=AB1081,O1081&gt;=AA1081),O1081-AA1081+1,0)</f>
        <v>0</v>
      </c>
      <c r="AG1081" s="1">
        <f t="shared" ref="AG1081:AG1144" si="376">IF(AND(N1081&gt;=AA1081,O1081&lt;=AB1081),O1081-N1081+1,0)</f>
        <v>0</v>
      </c>
      <c r="AH1081" s="1">
        <f t="shared" ref="AH1081:AH1144" si="377">IF(AND(N1081&lt;AA1081,O1081&lt;AA1081),(AB1081-AA1081+1)/2,0)</f>
        <v>0</v>
      </c>
      <c r="AI1081" s="5">
        <f t="shared" ref="AI1081:AI1144" si="378">SUM(AD1081:AH1081)/IF(U1081&gt;=365,AB1081-AA1081+1,U1081)</f>
        <v>0.89315068493150684</v>
      </c>
      <c r="AJ1081" s="5">
        <f t="shared" ref="AJ1081:AJ1144" si="379">X1081*AI1081</f>
        <v>1.1886964448495898</v>
      </c>
      <c r="AK1081" s="5">
        <f t="shared" ref="AK1081:AK1144" si="380">IF(AH1081=0,AJ1081*AC1081,IF(AA1081-O1081&gt;1095,0,AJ1081*(AC1081/2)))</f>
        <v>79.642661804922511</v>
      </c>
      <c r="AL1081" s="5">
        <f t="shared" ref="AL1081:AL1144" si="381">AK1081*S1081</f>
        <v>199.10665451230628</v>
      </c>
      <c r="AM1081" s="5">
        <f t="shared" ref="AM1081:AM1144" si="382">IF(J1081="SIM",AL1081*50%,0)</f>
        <v>0</v>
      </c>
      <c r="AN1081" s="5">
        <f t="shared" ref="AN1081:AN1144" si="383">AL1081+AM1081</f>
        <v>199.10665451230628</v>
      </c>
      <c r="AO1081" s="1" t="s">
        <v>102</v>
      </c>
    </row>
    <row r="1082" spans="1:41" x14ac:dyDescent="0.25">
      <c r="A1082" s="1" t="s">
        <v>19</v>
      </c>
      <c r="B1082" s="1" t="s">
        <v>50</v>
      </c>
      <c r="C1082" s="1" t="s">
        <v>21</v>
      </c>
      <c r="D1082" s="1" t="s">
        <v>51</v>
      </c>
      <c r="E1082" s="1" t="s">
        <v>96</v>
      </c>
      <c r="F1082" s="1" t="s">
        <v>103</v>
      </c>
      <c r="G1082" s="1" t="s">
        <v>114</v>
      </c>
      <c r="H1082" s="1" t="s">
        <v>247</v>
      </c>
      <c r="I1082" s="1" t="s">
        <v>162</v>
      </c>
      <c r="J1082" s="1" t="s">
        <v>101</v>
      </c>
      <c r="K1082" s="1" t="s">
        <v>116</v>
      </c>
      <c r="L1082" s="1">
        <v>2970530</v>
      </c>
      <c r="M1082" s="1" t="s">
        <v>1237</v>
      </c>
      <c r="N1082" s="8">
        <f t="shared" si="365"/>
        <v>44966</v>
      </c>
      <c r="O1082" s="8">
        <f>DATE(2026,2,9)</f>
        <v>46062</v>
      </c>
      <c r="P1082" s="1">
        <v>3672</v>
      </c>
      <c r="Q1082" s="1">
        <v>1200</v>
      </c>
      <c r="R1082" s="1">
        <f t="shared" si="366"/>
        <v>3200</v>
      </c>
      <c r="S1082" s="1">
        <v>1.5</v>
      </c>
      <c r="U1082" s="1">
        <f t="shared" si="367"/>
        <v>1097</v>
      </c>
      <c r="V1082" s="7">
        <f t="shared" si="368"/>
        <v>2.917046490428441</v>
      </c>
      <c r="W1082" s="7">
        <f t="shared" si="369"/>
        <v>1064.721969006381</v>
      </c>
      <c r="X1082" s="7">
        <f t="shared" si="370"/>
        <v>1.3309024612579763</v>
      </c>
      <c r="AA1082" s="8">
        <f t="shared" si="371"/>
        <v>44927</v>
      </c>
      <c r="AB1082" s="8">
        <f t="shared" si="372"/>
        <v>45291</v>
      </c>
      <c r="AC1082" s="1">
        <v>37</v>
      </c>
      <c r="AD1082" s="1">
        <f t="shared" si="373"/>
        <v>0</v>
      </c>
      <c r="AE1082" s="1">
        <f t="shared" si="374"/>
        <v>326</v>
      </c>
      <c r="AF1082" s="1">
        <f t="shared" si="375"/>
        <v>0</v>
      </c>
      <c r="AG1082" s="1">
        <f t="shared" si="376"/>
        <v>0</v>
      </c>
      <c r="AH1082" s="1">
        <f t="shared" si="377"/>
        <v>0</v>
      </c>
      <c r="AI1082" s="5">
        <f t="shared" si="378"/>
        <v>0.89315068493150684</v>
      </c>
      <c r="AJ1082" s="5">
        <f t="shared" si="379"/>
        <v>1.1886964448495898</v>
      </c>
      <c r="AK1082" s="5">
        <f t="shared" si="380"/>
        <v>43.981768459434825</v>
      </c>
      <c r="AL1082" s="5">
        <f t="shared" si="381"/>
        <v>65.972652689152241</v>
      </c>
      <c r="AM1082" s="5">
        <f t="shared" si="382"/>
        <v>0</v>
      </c>
      <c r="AN1082" s="5">
        <f t="shared" si="383"/>
        <v>65.972652689152241</v>
      </c>
      <c r="AO1082" s="1" t="s">
        <v>102</v>
      </c>
    </row>
    <row r="1083" spans="1:41" x14ac:dyDescent="0.25">
      <c r="A1083" s="1" t="s">
        <v>19</v>
      </c>
      <c r="B1083" s="1" t="s">
        <v>50</v>
      </c>
      <c r="C1083" s="1" t="s">
        <v>21</v>
      </c>
      <c r="D1083" s="1" t="s">
        <v>51</v>
      </c>
      <c r="E1083" s="1" t="s">
        <v>96</v>
      </c>
      <c r="F1083" s="1" t="s">
        <v>103</v>
      </c>
      <c r="G1083" s="1" t="s">
        <v>114</v>
      </c>
      <c r="H1083" s="1" t="s">
        <v>260</v>
      </c>
      <c r="I1083" s="1" t="s">
        <v>100</v>
      </c>
      <c r="J1083" s="1" t="s">
        <v>101</v>
      </c>
      <c r="K1083" s="1" t="s">
        <v>116</v>
      </c>
      <c r="L1083" s="1">
        <v>2970534</v>
      </c>
      <c r="M1083" s="1" t="s">
        <v>1238</v>
      </c>
      <c r="N1083" s="8">
        <f t="shared" si="365"/>
        <v>44966</v>
      </c>
      <c r="O1083" s="8">
        <f>DATE(2026,2,9)</f>
        <v>46062</v>
      </c>
      <c r="P1083" s="1">
        <v>3186</v>
      </c>
      <c r="Q1083" s="1">
        <v>800</v>
      </c>
      <c r="R1083" s="1">
        <f t="shared" si="366"/>
        <v>3000</v>
      </c>
      <c r="S1083" s="1">
        <v>1.5</v>
      </c>
      <c r="U1083" s="1">
        <f t="shared" si="367"/>
        <v>1097</v>
      </c>
      <c r="V1083" s="7">
        <f t="shared" si="368"/>
        <v>2.7347310847766635</v>
      </c>
      <c r="W1083" s="7">
        <f t="shared" si="369"/>
        <v>998.17684594348214</v>
      </c>
      <c r="X1083" s="7">
        <f t="shared" si="370"/>
        <v>1.2477210574293527</v>
      </c>
      <c r="AA1083" s="8">
        <f t="shared" si="371"/>
        <v>44927</v>
      </c>
      <c r="AB1083" s="8">
        <f t="shared" si="372"/>
        <v>45291</v>
      </c>
      <c r="AC1083" s="1">
        <v>38</v>
      </c>
      <c r="AD1083" s="1">
        <f t="shared" si="373"/>
        <v>0</v>
      </c>
      <c r="AE1083" s="1">
        <f t="shared" si="374"/>
        <v>326</v>
      </c>
      <c r="AF1083" s="1">
        <f t="shared" si="375"/>
        <v>0</v>
      </c>
      <c r="AG1083" s="1">
        <f t="shared" si="376"/>
        <v>0</v>
      </c>
      <c r="AH1083" s="1">
        <f t="shared" si="377"/>
        <v>0</v>
      </c>
      <c r="AI1083" s="5">
        <f t="shared" si="378"/>
        <v>0.89315068493150684</v>
      </c>
      <c r="AJ1083" s="5">
        <f t="shared" si="379"/>
        <v>1.1144029170464904</v>
      </c>
      <c r="AK1083" s="5">
        <f t="shared" si="380"/>
        <v>42.347310847766636</v>
      </c>
      <c r="AL1083" s="5">
        <f t="shared" si="381"/>
        <v>63.520966271649954</v>
      </c>
      <c r="AM1083" s="5">
        <f t="shared" si="382"/>
        <v>0</v>
      </c>
      <c r="AN1083" s="5">
        <f t="shared" si="383"/>
        <v>63.520966271649954</v>
      </c>
      <c r="AO1083" s="1" t="s">
        <v>102</v>
      </c>
    </row>
    <row r="1084" spans="1:41" x14ac:dyDescent="0.25">
      <c r="A1084" s="1" t="s">
        <v>19</v>
      </c>
      <c r="B1084" s="1" t="s">
        <v>50</v>
      </c>
      <c r="C1084" s="1" t="s">
        <v>21</v>
      </c>
      <c r="D1084" s="1" t="s">
        <v>51</v>
      </c>
      <c r="E1084" s="1" t="s">
        <v>96</v>
      </c>
      <c r="F1084" s="1" t="s">
        <v>103</v>
      </c>
      <c r="G1084" s="1" t="s">
        <v>114</v>
      </c>
      <c r="H1084" s="1" t="s">
        <v>892</v>
      </c>
      <c r="I1084" s="1" t="s">
        <v>194</v>
      </c>
      <c r="J1084" s="1" t="s">
        <v>101</v>
      </c>
      <c r="K1084" s="1" t="s">
        <v>116</v>
      </c>
      <c r="L1084" s="1">
        <v>2970537</v>
      </c>
      <c r="M1084" s="1" t="s">
        <v>1239</v>
      </c>
      <c r="N1084" s="8">
        <f t="shared" si="365"/>
        <v>44966</v>
      </c>
      <c r="O1084" s="8">
        <f>DATE(2026,2,9)</f>
        <v>46062</v>
      </c>
      <c r="P1084" s="1">
        <v>3424</v>
      </c>
      <c r="Q1084" s="1">
        <v>1200</v>
      </c>
      <c r="R1084" s="1">
        <f t="shared" si="366"/>
        <v>3200</v>
      </c>
      <c r="S1084" s="1">
        <v>2.5</v>
      </c>
      <c r="U1084" s="1">
        <f t="shared" si="367"/>
        <v>1097</v>
      </c>
      <c r="V1084" s="7">
        <f t="shared" si="368"/>
        <v>2.917046490428441</v>
      </c>
      <c r="W1084" s="7">
        <f t="shared" si="369"/>
        <v>1064.721969006381</v>
      </c>
      <c r="X1084" s="7">
        <f t="shared" si="370"/>
        <v>1.3309024612579763</v>
      </c>
      <c r="AA1084" s="8">
        <f t="shared" si="371"/>
        <v>44927</v>
      </c>
      <c r="AB1084" s="8">
        <f t="shared" si="372"/>
        <v>45291</v>
      </c>
      <c r="AC1084" s="1">
        <v>35</v>
      </c>
      <c r="AD1084" s="1">
        <f t="shared" si="373"/>
        <v>0</v>
      </c>
      <c r="AE1084" s="1">
        <f t="shared" si="374"/>
        <v>326</v>
      </c>
      <c r="AF1084" s="1">
        <f t="shared" si="375"/>
        <v>0</v>
      </c>
      <c r="AG1084" s="1">
        <f t="shared" si="376"/>
        <v>0</v>
      </c>
      <c r="AH1084" s="1">
        <f t="shared" si="377"/>
        <v>0</v>
      </c>
      <c r="AI1084" s="5">
        <f t="shared" si="378"/>
        <v>0.89315068493150684</v>
      </c>
      <c r="AJ1084" s="5">
        <f t="shared" si="379"/>
        <v>1.1886964448495898</v>
      </c>
      <c r="AK1084" s="5">
        <f t="shared" si="380"/>
        <v>41.604375569735645</v>
      </c>
      <c r="AL1084" s="5">
        <f t="shared" si="381"/>
        <v>104.01093892433911</v>
      </c>
      <c r="AM1084" s="5">
        <f t="shared" si="382"/>
        <v>0</v>
      </c>
      <c r="AN1084" s="5">
        <f t="shared" si="383"/>
        <v>104.01093892433911</v>
      </c>
      <c r="AO1084" s="1" t="s">
        <v>102</v>
      </c>
    </row>
    <row r="1085" spans="1:41" x14ac:dyDescent="0.25">
      <c r="A1085" s="1" t="s">
        <v>19</v>
      </c>
      <c r="B1085" s="1" t="s">
        <v>50</v>
      </c>
      <c r="C1085" s="1" t="s">
        <v>21</v>
      </c>
      <c r="D1085" s="1" t="s">
        <v>51</v>
      </c>
      <c r="E1085" s="1" t="s">
        <v>96</v>
      </c>
      <c r="F1085" s="1" t="s">
        <v>103</v>
      </c>
      <c r="G1085" s="1" t="s">
        <v>320</v>
      </c>
      <c r="H1085" s="1" t="s">
        <v>491</v>
      </c>
      <c r="I1085" s="1" t="s">
        <v>174</v>
      </c>
      <c r="J1085" s="1" t="s">
        <v>101</v>
      </c>
      <c r="L1085" s="1">
        <v>2972498</v>
      </c>
      <c r="M1085" s="1" t="s">
        <v>1240</v>
      </c>
      <c r="N1085" s="8">
        <f t="shared" si="365"/>
        <v>44966</v>
      </c>
      <c r="O1085" s="8">
        <f>DATE(2027,2,1)</f>
        <v>46419</v>
      </c>
      <c r="P1085" s="1">
        <v>3200</v>
      </c>
      <c r="Q1085" s="1">
        <v>3200</v>
      </c>
      <c r="R1085" s="1">
        <f t="shared" si="366"/>
        <v>3200</v>
      </c>
      <c r="S1085" s="1">
        <v>2.5</v>
      </c>
      <c r="U1085" s="1">
        <f t="shared" si="367"/>
        <v>1454</v>
      </c>
      <c r="V1085" s="7">
        <f t="shared" si="368"/>
        <v>2.200825309491059</v>
      </c>
      <c r="W1085" s="7">
        <f t="shared" si="369"/>
        <v>803.30123796423652</v>
      </c>
      <c r="X1085" s="7">
        <f t="shared" si="370"/>
        <v>1.0041265474552956</v>
      </c>
      <c r="AA1085" s="8">
        <f t="shared" si="371"/>
        <v>44927</v>
      </c>
      <c r="AB1085" s="8">
        <f t="shared" si="372"/>
        <v>45291</v>
      </c>
      <c r="AC1085" s="1">
        <v>7</v>
      </c>
      <c r="AD1085" s="1">
        <f t="shared" si="373"/>
        <v>0</v>
      </c>
      <c r="AE1085" s="1">
        <f t="shared" si="374"/>
        <v>326</v>
      </c>
      <c r="AF1085" s="1">
        <f t="shared" si="375"/>
        <v>0</v>
      </c>
      <c r="AG1085" s="1">
        <f t="shared" si="376"/>
        <v>0</v>
      </c>
      <c r="AH1085" s="1">
        <f t="shared" si="377"/>
        <v>0</v>
      </c>
      <c r="AI1085" s="5">
        <f t="shared" si="378"/>
        <v>0.89315068493150684</v>
      </c>
      <c r="AJ1085" s="5">
        <f t="shared" si="379"/>
        <v>0.89683631361760652</v>
      </c>
      <c r="AK1085" s="5">
        <f t="shared" si="380"/>
        <v>6.2778541953232452</v>
      </c>
      <c r="AL1085" s="5">
        <f t="shared" si="381"/>
        <v>15.694635488308112</v>
      </c>
      <c r="AM1085" s="5">
        <f t="shared" si="382"/>
        <v>0</v>
      </c>
      <c r="AN1085" s="5">
        <f t="shared" si="383"/>
        <v>15.694635488308112</v>
      </c>
      <c r="AO1085" s="1" t="s">
        <v>102</v>
      </c>
    </row>
    <row r="1086" spans="1:41" x14ac:dyDescent="0.25">
      <c r="A1086" s="1" t="s">
        <v>19</v>
      </c>
      <c r="B1086" s="1" t="s">
        <v>50</v>
      </c>
      <c r="C1086" s="1" t="s">
        <v>21</v>
      </c>
      <c r="D1086" s="1" t="s">
        <v>51</v>
      </c>
      <c r="E1086" s="1" t="s">
        <v>96</v>
      </c>
      <c r="F1086" s="1" t="s">
        <v>103</v>
      </c>
      <c r="G1086" s="1" t="s">
        <v>127</v>
      </c>
      <c r="H1086" s="1" t="s">
        <v>1143</v>
      </c>
      <c r="I1086" s="1" t="s">
        <v>162</v>
      </c>
      <c r="J1086" s="1" t="s">
        <v>101</v>
      </c>
      <c r="L1086" s="1">
        <v>2972501</v>
      </c>
      <c r="M1086" s="1" t="s">
        <v>1241</v>
      </c>
      <c r="N1086" s="8">
        <f t="shared" si="365"/>
        <v>44966</v>
      </c>
      <c r="O1086" s="8">
        <f>DATE(2026,2,9)</f>
        <v>46062</v>
      </c>
      <c r="P1086" s="1">
        <v>2140</v>
      </c>
      <c r="Q1086" s="1">
        <v>2000</v>
      </c>
      <c r="R1086" s="1">
        <f t="shared" si="366"/>
        <v>2000</v>
      </c>
      <c r="S1086" s="1">
        <v>1.5</v>
      </c>
      <c r="U1086" s="1">
        <f t="shared" si="367"/>
        <v>1097</v>
      </c>
      <c r="V1086" s="7">
        <f t="shared" si="368"/>
        <v>1.8231540565177757</v>
      </c>
      <c r="W1086" s="7">
        <f t="shared" si="369"/>
        <v>665.45123062898813</v>
      </c>
      <c r="X1086" s="7">
        <f t="shared" si="370"/>
        <v>0.83181403828623512</v>
      </c>
      <c r="AA1086" s="8">
        <f t="shared" si="371"/>
        <v>44927</v>
      </c>
      <c r="AB1086" s="8">
        <f t="shared" si="372"/>
        <v>45291</v>
      </c>
      <c r="AC1086" s="1">
        <v>26</v>
      </c>
      <c r="AD1086" s="1">
        <f t="shared" si="373"/>
        <v>0</v>
      </c>
      <c r="AE1086" s="1">
        <f t="shared" si="374"/>
        <v>326</v>
      </c>
      <c r="AF1086" s="1">
        <f t="shared" si="375"/>
        <v>0</v>
      </c>
      <c r="AG1086" s="1">
        <f t="shared" si="376"/>
        <v>0</v>
      </c>
      <c r="AH1086" s="1">
        <f t="shared" si="377"/>
        <v>0</v>
      </c>
      <c r="AI1086" s="5">
        <f t="shared" si="378"/>
        <v>0.89315068493150684</v>
      </c>
      <c r="AJ1086" s="5">
        <f t="shared" si="379"/>
        <v>0.74293527803099357</v>
      </c>
      <c r="AK1086" s="5">
        <f t="shared" si="380"/>
        <v>19.316317228805833</v>
      </c>
      <c r="AL1086" s="5">
        <f t="shared" si="381"/>
        <v>28.974475843208751</v>
      </c>
      <c r="AM1086" s="5">
        <f t="shared" si="382"/>
        <v>0</v>
      </c>
      <c r="AN1086" s="5">
        <f t="shared" si="383"/>
        <v>28.974475843208751</v>
      </c>
      <c r="AO1086" s="1" t="s">
        <v>102</v>
      </c>
    </row>
    <row r="1087" spans="1:41" x14ac:dyDescent="0.25">
      <c r="A1087" s="1" t="s">
        <v>19</v>
      </c>
      <c r="B1087" s="1" t="s">
        <v>50</v>
      </c>
      <c r="C1087" s="1" t="s">
        <v>21</v>
      </c>
      <c r="D1087" s="1" t="s">
        <v>51</v>
      </c>
      <c r="E1087" s="1" t="s">
        <v>96</v>
      </c>
      <c r="F1087" s="1" t="s">
        <v>103</v>
      </c>
      <c r="G1087" s="1" t="s">
        <v>114</v>
      </c>
      <c r="H1087" s="1" t="s">
        <v>892</v>
      </c>
      <c r="I1087" s="1" t="s">
        <v>194</v>
      </c>
      <c r="J1087" s="1" t="s">
        <v>101</v>
      </c>
      <c r="K1087" s="1" t="s">
        <v>175</v>
      </c>
      <c r="L1087" s="1">
        <v>2972502</v>
      </c>
      <c r="M1087" s="1" t="s">
        <v>1242</v>
      </c>
      <c r="N1087" s="8">
        <f t="shared" si="365"/>
        <v>44966</v>
      </c>
      <c r="O1087" s="8">
        <f>DATE(2024,8,9)</f>
        <v>45513</v>
      </c>
      <c r="P1087" s="1">
        <v>1207</v>
      </c>
      <c r="Q1087" s="1">
        <v>1200</v>
      </c>
      <c r="R1087" s="1">
        <f t="shared" si="366"/>
        <v>1200</v>
      </c>
      <c r="S1087" s="1">
        <v>2.5</v>
      </c>
      <c r="U1087" s="1">
        <f t="shared" si="367"/>
        <v>548</v>
      </c>
      <c r="V1087" s="7">
        <f t="shared" si="368"/>
        <v>2.1897810218978102</v>
      </c>
      <c r="W1087" s="7">
        <f t="shared" si="369"/>
        <v>799.27007299270076</v>
      </c>
      <c r="X1087" s="7">
        <f t="shared" si="370"/>
        <v>0.99908759124087598</v>
      </c>
      <c r="AA1087" s="8">
        <f t="shared" si="371"/>
        <v>44927</v>
      </c>
      <c r="AB1087" s="8">
        <f t="shared" si="372"/>
        <v>45291</v>
      </c>
      <c r="AC1087" s="1">
        <v>12</v>
      </c>
      <c r="AD1087" s="1">
        <f t="shared" si="373"/>
        <v>0</v>
      </c>
      <c r="AE1087" s="1">
        <f t="shared" si="374"/>
        <v>326</v>
      </c>
      <c r="AF1087" s="1">
        <f t="shared" si="375"/>
        <v>0</v>
      </c>
      <c r="AG1087" s="1">
        <f t="shared" si="376"/>
        <v>0</v>
      </c>
      <c r="AH1087" s="1">
        <f t="shared" si="377"/>
        <v>0</v>
      </c>
      <c r="AI1087" s="5">
        <f t="shared" si="378"/>
        <v>0.89315068493150684</v>
      </c>
      <c r="AJ1087" s="5">
        <f t="shared" si="379"/>
        <v>0.89233576642335777</v>
      </c>
      <c r="AK1087" s="5">
        <f t="shared" si="380"/>
        <v>10.708029197080293</v>
      </c>
      <c r="AL1087" s="5">
        <f t="shared" si="381"/>
        <v>26.770072992700733</v>
      </c>
      <c r="AM1087" s="5">
        <f t="shared" si="382"/>
        <v>0</v>
      </c>
      <c r="AN1087" s="5">
        <f t="shared" si="383"/>
        <v>26.770072992700733</v>
      </c>
      <c r="AO1087" s="1" t="s">
        <v>102</v>
      </c>
    </row>
    <row r="1088" spans="1:41" x14ac:dyDescent="0.25">
      <c r="A1088" s="1" t="s">
        <v>19</v>
      </c>
      <c r="B1088" s="1" t="s">
        <v>50</v>
      </c>
      <c r="C1088" s="1" t="s">
        <v>21</v>
      </c>
      <c r="D1088" s="1" t="s">
        <v>51</v>
      </c>
      <c r="E1088" s="1" t="s">
        <v>172</v>
      </c>
      <c r="F1088" s="1" t="s">
        <v>103</v>
      </c>
      <c r="G1088" s="1" t="s">
        <v>114</v>
      </c>
      <c r="H1088" s="1" t="s">
        <v>173</v>
      </c>
      <c r="I1088" s="1" t="s">
        <v>174</v>
      </c>
      <c r="J1088" s="1" t="s">
        <v>101</v>
      </c>
      <c r="K1088" s="1" t="s">
        <v>175</v>
      </c>
      <c r="L1088" s="1">
        <v>2975047</v>
      </c>
      <c r="M1088" s="1" t="s">
        <v>345</v>
      </c>
      <c r="N1088" s="8">
        <f>DATE(2023,4,3)</f>
        <v>45019</v>
      </c>
      <c r="O1088" s="8">
        <f>DATE(2024,10,31)</f>
        <v>45596</v>
      </c>
      <c r="P1088" s="1">
        <v>1200</v>
      </c>
      <c r="Q1088" s="1">
        <v>1200</v>
      </c>
      <c r="R1088" s="1">
        <f t="shared" si="366"/>
        <v>1200</v>
      </c>
      <c r="S1088" s="1">
        <v>2</v>
      </c>
      <c r="U1088" s="1">
        <f t="shared" si="367"/>
        <v>578</v>
      </c>
      <c r="V1088" s="7">
        <f t="shared" si="368"/>
        <v>2.0761245674740483</v>
      </c>
      <c r="W1088" s="7">
        <f t="shared" si="369"/>
        <v>757.78546712802768</v>
      </c>
      <c r="X1088" s="7">
        <f t="shared" si="370"/>
        <v>0.94723183391003463</v>
      </c>
      <c r="AA1088" s="8">
        <f t="shared" si="371"/>
        <v>44927</v>
      </c>
      <c r="AB1088" s="8">
        <f t="shared" si="372"/>
        <v>45291</v>
      </c>
      <c r="AC1088" s="1">
        <v>57</v>
      </c>
      <c r="AD1088" s="1">
        <f t="shared" si="373"/>
        <v>0</v>
      </c>
      <c r="AE1088" s="1">
        <f t="shared" si="374"/>
        <v>273</v>
      </c>
      <c r="AF1088" s="1">
        <f t="shared" si="375"/>
        <v>0</v>
      </c>
      <c r="AG1088" s="1">
        <f t="shared" si="376"/>
        <v>0</v>
      </c>
      <c r="AH1088" s="1">
        <f t="shared" si="377"/>
        <v>0</v>
      </c>
      <c r="AI1088" s="5">
        <f t="shared" si="378"/>
        <v>0.74794520547945209</v>
      </c>
      <c r="AJ1088" s="5">
        <f t="shared" si="379"/>
        <v>0.70847750865051906</v>
      </c>
      <c r="AK1088" s="5">
        <f t="shared" si="380"/>
        <v>40.383217993079583</v>
      </c>
      <c r="AL1088" s="5">
        <f t="shared" si="381"/>
        <v>80.766435986159166</v>
      </c>
      <c r="AM1088" s="5">
        <f t="shared" si="382"/>
        <v>0</v>
      </c>
      <c r="AN1088" s="5">
        <f t="shared" si="383"/>
        <v>80.766435986159166</v>
      </c>
      <c r="AO1088" s="1" t="s">
        <v>122</v>
      </c>
    </row>
    <row r="1089" spans="1:42" x14ac:dyDescent="0.25">
      <c r="A1089" s="1" t="s">
        <v>19</v>
      </c>
      <c r="B1089" s="1" t="s">
        <v>50</v>
      </c>
      <c r="C1089" s="1" t="s">
        <v>21</v>
      </c>
      <c r="D1089" s="1" t="s">
        <v>51</v>
      </c>
      <c r="E1089" s="1" t="s">
        <v>172</v>
      </c>
      <c r="F1089" s="1" t="s">
        <v>103</v>
      </c>
      <c r="G1089" s="1" t="s">
        <v>114</v>
      </c>
      <c r="H1089" s="1" t="s">
        <v>177</v>
      </c>
      <c r="I1089" s="1" t="s">
        <v>174</v>
      </c>
      <c r="J1089" s="1" t="s">
        <v>101</v>
      </c>
      <c r="K1089" s="1" t="s">
        <v>175</v>
      </c>
      <c r="L1089" s="1">
        <v>2975223</v>
      </c>
      <c r="M1089" s="1" t="s">
        <v>346</v>
      </c>
      <c r="N1089" s="8">
        <f>DATE(2023,4,3)</f>
        <v>45019</v>
      </c>
      <c r="O1089" s="8">
        <f>DATE(2024,10,31)</f>
        <v>45596</v>
      </c>
      <c r="P1089" s="1">
        <v>1200</v>
      </c>
      <c r="Q1089" s="1">
        <v>1200</v>
      </c>
      <c r="R1089" s="1">
        <f t="shared" si="366"/>
        <v>1200</v>
      </c>
      <c r="S1089" s="1">
        <v>1</v>
      </c>
      <c r="U1089" s="1">
        <f t="shared" si="367"/>
        <v>578</v>
      </c>
      <c r="V1089" s="7">
        <f t="shared" si="368"/>
        <v>2.0761245674740483</v>
      </c>
      <c r="W1089" s="7">
        <f t="shared" si="369"/>
        <v>757.78546712802768</v>
      </c>
      <c r="X1089" s="7">
        <f t="shared" si="370"/>
        <v>0.94723183391003463</v>
      </c>
      <c r="AA1089" s="8">
        <f t="shared" si="371"/>
        <v>44927</v>
      </c>
      <c r="AB1089" s="8">
        <f t="shared" si="372"/>
        <v>45291</v>
      </c>
      <c r="AC1089" s="1">
        <v>94</v>
      </c>
      <c r="AD1089" s="1">
        <f t="shared" si="373"/>
        <v>0</v>
      </c>
      <c r="AE1089" s="1">
        <f t="shared" si="374"/>
        <v>273</v>
      </c>
      <c r="AF1089" s="1">
        <f t="shared" si="375"/>
        <v>0</v>
      </c>
      <c r="AG1089" s="1">
        <f t="shared" si="376"/>
        <v>0</v>
      </c>
      <c r="AH1089" s="1">
        <f t="shared" si="377"/>
        <v>0</v>
      </c>
      <c r="AI1089" s="5">
        <f t="shared" si="378"/>
        <v>0.74794520547945209</v>
      </c>
      <c r="AJ1089" s="5">
        <f t="shared" si="379"/>
        <v>0.70847750865051906</v>
      </c>
      <c r="AK1089" s="5">
        <f t="shared" si="380"/>
        <v>66.596885813148788</v>
      </c>
      <c r="AL1089" s="5">
        <f t="shared" si="381"/>
        <v>66.596885813148788</v>
      </c>
      <c r="AM1089" s="5">
        <f t="shared" si="382"/>
        <v>0</v>
      </c>
      <c r="AN1089" s="5">
        <f t="shared" si="383"/>
        <v>66.596885813148788</v>
      </c>
      <c r="AO1089" s="1" t="s">
        <v>122</v>
      </c>
    </row>
    <row r="1090" spans="1:42" x14ac:dyDescent="0.25">
      <c r="A1090" s="1" t="s">
        <v>19</v>
      </c>
      <c r="B1090" s="1" t="s">
        <v>50</v>
      </c>
      <c r="C1090" s="1" t="s">
        <v>21</v>
      </c>
      <c r="D1090" s="1" t="s">
        <v>51</v>
      </c>
      <c r="E1090" s="1" t="s">
        <v>172</v>
      </c>
      <c r="F1090" s="1" t="s">
        <v>103</v>
      </c>
      <c r="G1090" s="1" t="s">
        <v>114</v>
      </c>
      <c r="H1090" s="1" t="s">
        <v>853</v>
      </c>
      <c r="I1090" s="1" t="s">
        <v>174</v>
      </c>
      <c r="J1090" s="1" t="s">
        <v>101</v>
      </c>
      <c r="K1090" s="1" t="s">
        <v>175</v>
      </c>
      <c r="L1090" s="1">
        <v>2975268</v>
      </c>
      <c r="M1090" s="1" t="s">
        <v>1243</v>
      </c>
      <c r="N1090" s="8">
        <f>DATE(2023,4,3)</f>
        <v>45019</v>
      </c>
      <c r="O1090" s="8">
        <f>DATE(2024,5,31)</f>
        <v>45443</v>
      </c>
      <c r="P1090" s="1">
        <v>1200</v>
      </c>
      <c r="Q1090" s="1">
        <v>1200</v>
      </c>
      <c r="R1090" s="1">
        <f t="shared" si="366"/>
        <v>1200</v>
      </c>
      <c r="S1090" s="1">
        <v>2.5</v>
      </c>
      <c r="U1090" s="1">
        <f t="shared" si="367"/>
        <v>425</v>
      </c>
      <c r="V1090" s="7">
        <f t="shared" si="368"/>
        <v>2.8235294117647061</v>
      </c>
      <c r="W1090" s="7">
        <f t="shared" si="369"/>
        <v>1030.5882352941178</v>
      </c>
      <c r="X1090" s="7">
        <f t="shared" si="370"/>
        <v>1.2882352941176471</v>
      </c>
      <c r="AA1090" s="8">
        <f t="shared" si="371"/>
        <v>44927</v>
      </c>
      <c r="AB1090" s="8">
        <f t="shared" si="372"/>
        <v>45291</v>
      </c>
      <c r="AC1090" s="1">
        <v>18</v>
      </c>
      <c r="AD1090" s="1">
        <f t="shared" si="373"/>
        <v>0</v>
      </c>
      <c r="AE1090" s="1">
        <f t="shared" si="374"/>
        <v>273</v>
      </c>
      <c r="AF1090" s="1">
        <f t="shared" si="375"/>
        <v>0</v>
      </c>
      <c r="AG1090" s="1">
        <f t="shared" si="376"/>
        <v>0</v>
      </c>
      <c r="AH1090" s="1">
        <f t="shared" si="377"/>
        <v>0</v>
      </c>
      <c r="AI1090" s="5">
        <f t="shared" si="378"/>
        <v>0.74794520547945209</v>
      </c>
      <c r="AJ1090" s="5">
        <f t="shared" si="379"/>
        <v>0.96352941176470597</v>
      </c>
      <c r="AK1090" s="5">
        <f t="shared" si="380"/>
        <v>17.343529411764706</v>
      </c>
      <c r="AL1090" s="5">
        <f t="shared" si="381"/>
        <v>43.358823529411765</v>
      </c>
      <c r="AM1090" s="5">
        <f t="shared" si="382"/>
        <v>0</v>
      </c>
      <c r="AN1090" s="5">
        <f t="shared" si="383"/>
        <v>43.358823529411765</v>
      </c>
      <c r="AO1090" s="1" t="s">
        <v>122</v>
      </c>
    </row>
    <row r="1091" spans="1:42" x14ac:dyDescent="0.25">
      <c r="A1091" s="1" t="s">
        <v>19</v>
      </c>
      <c r="B1091" s="1" t="s">
        <v>50</v>
      </c>
      <c r="C1091" s="1" t="s">
        <v>21</v>
      </c>
      <c r="D1091" s="1" t="s">
        <v>51</v>
      </c>
      <c r="E1091" s="1" t="s">
        <v>172</v>
      </c>
      <c r="F1091" s="1" t="s">
        <v>103</v>
      </c>
      <c r="G1091" s="1" t="s">
        <v>114</v>
      </c>
      <c r="H1091" s="1" t="s">
        <v>179</v>
      </c>
      <c r="I1091" s="1" t="s">
        <v>174</v>
      </c>
      <c r="J1091" s="1" t="s">
        <v>101</v>
      </c>
      <c r="K1091" s="1" t="s">
        <v>175</v>
      </c>
      <c r="L1091" s="1">
        <v>2975334</v>
      </c>
      <c r="M1091" s="1" t="s">
        <v>347</v>
      </c>
      <c r="N1091" s="8">
        <f>DATE(2023,4,3)</f>
        <v>45019</v>
      </c>
      <c r="O1091" s="8">
        <f>DATE(2024,10,31)</f>
        <v>45596</v>
      </c>
      <c r="P1091" s="1">
        <v>800</v>
      </c>
      <c r="Q1091" s="1">
        <v>800</v>
      </c>
      <c r="R1091" s="1">
        <f t="shared" si="366"/>
        <v>800</v>
      </c>
      <c r="S1091" s="1">
        <v>1.5</v>
      </c>
      <c r="U1091" s="1">
        <f t="shared" si="367"/>
        <v>578</v>
      </c>
      <c r="V1091" s="7">
        <f t="shared" si="368"/>
        <v>1.3840830449826989</v>
      </c>
      <c r="W1091" s="7">
        <f t="shared" si="369"/>
        <v>505.1903114186851</v>
      </c>
      <c r="X1091" s="7">
        <f t="shared" si="370"/>
        <v>0.63148788927335642</v>
      </c>
      <c r="AA1091" s="8">
        <f t="shared" si="371"/>
        <v>44927</v>
      </c>
      <c r="AB1091" s="8">
        <f t="shared" si="372"/>
        <v>45291</v>
      </c>
      <c r="AC1091" s="1">
        <v>45</v>
      </c>
      <c r="AD1091" s="1">
        <f t="shared" si="373"/>
        <v>0</v>
      </c>
      <c r="AE1091" s="1">
        <f t="shared" si="374"/>
        <v>273</v>
      </c>
      <c r="AF1091" s="1">
        <f t="shared" si="375"/>
        <v>0</v>
      </c>
      <c r="AG1091" s="1">
        <f t="shared" si="376"/>
        <v>0</v>
      </c>
      <c r="AH1091" s="1">
        <f t="shared" si="377"/>
        <v>0</v>
      </c>
      <c r="AI1091" s="5">
        <f t="shared" si="378"/>
        <v>0.74794520547945209</v>
      </c>
      <c r="AJ1091" s="5">
        <f t="shared" si="379"/>
        <v>0.47231833910034604</v>
      </c>
      <c r="AK1091" s="5">
        <f t="shared" si="380"/>
        <v>21.254325259515571</v>
      </c>
      <c r="AL1091" s="5">
        <f t="shared" si="381"/>
        <v>31.881487889273359</v>
      </c>
      <c r="AM1091" s="5">
        <f t="shared" si="382"/>
        <v>0</v>
      </c>
      <c r="AN1091" s="5">
        <f t="shared" si="383"/>
        <v>31.881487889273359</v>
      </c>
      <c r="AO1091" s="1" t="s">
        <v>122</v>
      </c>
    </row>
    <row r="1092" spans="1:42" x14ac:dyDescent="0.25">
      <c r="A1092" s="1" t="s">
        <v>19</v>
      </c>
      <c r="B1092" s="1" t="s">
        <v>50</v>
      </c>
      <c r="C1092" s="1" t="s">
        <v>21</v>
      </c>
      <c r="D1092" s="1" t="s">
        <v>51</v>
      </c>
      <c r="E1092" s="1" t="s">
        <v>172</v>
      </c>
      <c r="F1092" s="1" t="s">
        <v>103</v>
      </c>
      <c r="G1092" s="1" t="s">
        <v>155</v>
      </c>
      <c r="H1092" s="1" t="s">
        <v>159</v>
      </c>
      <c r="I1092" s="1" t="s">
        <v>100</v>
      </c>
      <c r="J1092" s="1" t="s">
        <v>101</v>
      </c>
      <c r="L1092" s="1">
        <v>2977362</v>
      </c>
      <c r="M1092" s="1" t="s">
        <v>1244</v>
      </c>
      <c r="N1092" s="8">
        <f>DATE(2023,4,3)</f>
        <v>45019</v>
      </c>
      <c r="O1092" s="8">
        <f>DATE(2023,8,31)</f>
        <v>45169</v>
      </c>
      <c r="P1092" s="1">
        <v>200</v>
      </c>
      <c r="Q1092" s="1">
        <v>160</v>
      </c>
      <c r="R1092" s="1">
        <f t="shared" si="366"/>
        <v>200</v>
      </c>
      <c r="S1092" s="1">
        <v>1</v>
      </c>
      <c r="U1092" s="1">
        <f t="shared" si="367"/>
        <v>151</v>
      </c>
      <c r="V1092" s="7">
        <f t="shared" si="368"/>
        <v>1.3245033112582782</v>
      </c>
      <c r="W1092" s="7">
        <f t="shared" si="369"/>
        <v>200</v>
      </c>
      <c r="X1092" s="7">
        <f t="shared" si="370"/>
        <v>0.25</v>
      </c>
      <c r="AA1092" s="8">
        <f t="shared" si="371"/>
        <v>44927</v>
      </c>
      <c r="AB1092" s="8">
        <f t="shared" si="372"/>
        <v>45291</v>
      </c>
      <c r="AC1092" s="1">
        <v>20</v>
      </c>
      <c r="AD1092" s="1">
        <f t="shared" si="373"/>
        <v>0</v>
      </c>
      <c r="AE1092" s="1">
        <f t="shared" si="374"/>
        <v>0</v>
      </c>
      <c r="AF1092" s="1">
        <f t="shared" si="375"/>
        <v>0</v>
      </c>
      <c r="AG1092" s="1">
        <f t="shared" si="376"/>
        <v>151</v>
      </c>
      <c r="AH1092" s="1">
        <f t="shared" si="377"/>
        <v>0</v>
      </c>
      <c r="AI1092" s="5">
        <f t="shared" si="378"/>
        <v>1</v>
      </c>
      <c r="AJ1092" s="5">
        <f t="shared" si="379"/>
        <v>0.25</v>
      </c>
      <c r="AK1092" s="5">
        <f t="shared" si="380"/>
        <v>5</v>
      </c>
      <c r="AL1092" s="5">
        <f t="shared" si="381"/>
        <v>5</v>
      </c>
      <c r="AM1092" s="5">
        <f t="shared" si="382"/>
        <v>0</v>
      </c>
      <c r="AN1092" s="5">
        <f t="shared" si="383"/>
        <v>5</v>
      </c>
      <c r="AO1092" s="1" t="s">
        <v>122</v>
      </c>
    </row>
    <row r="1093" spans="1:42" x14ac:dyDescent="0.25">
      <c r="A1093" s="1" t="s">
        <v>19</v>
      </c>
      <c r="B1093" s="1" t="s">
        <v>50</v>
      </c>
      <c r="C1093" s="1" t="s">
        <v>21</v>
      </c>
      <c r="D1093" s="1" t="s">
        <v>51</v>
      </c>
      <c r="E1093" s="1" t="s">
        <v>96</v>
      </c>
      <c r="F1093" s="1" t="s">
        <v>103</v>
      </c>
      <c r="G1093" s="1" t="s">
        <v>155</v>
      </c>
      <c r="H1093" s="1" t="s">
        <v>1245</v>
      </c>
      <c r="I1093" s="1" t="s">
        <v>174</v>
      </c>
      <c r="J1093" s="1" t="s">
        <v>101</v>
      </c>
      <c r="L1093" s="1">
        <v>2977302</v>
      </c>
      <c r="M1093" s="1" t="s">
        <v>1246</v>
      </c>
      <c r="N1093" s="8">
        <f>DATE(2023,4,4)</f>
        <v>45020</v>
      </c>
      <c r="O1093" s="8">
        <f>DATE(2023,7,7)</f>
        <v>45114</v>
      </c>
      <c r="P1093" s="1">
        <v>56</v>
      </c>
      <c r="Q1093" s="1">
        <v>160</v>
      </c>
      <c r="R1093" s="1">
        <f t="shared" si="366"/>
        <v>56</v>
      </c>
      <c r="S1093" s="1">
        <v>1</v>
      </c>
      <c r="U1093" s="1">
        <f t="shared" si="367"/>
        <v>95</v>
      </c>
      <c r="V1093" s="7">
        <f t="shared" si="368"/>
        <v>0.58947368421052626</v>
      </c>
      <c r="W1093" s="7">
        <f t="shared" si="369"/>
        <v>56</v>
      </c>
      <c r="X1093" s="7">
        <f t="shared" si="370"/>
        <v>7.0000000000000007E-2</v>
      </c>
      <c r="AA1093" s="8">
        <f t="shared" si="371"/>
        <v>44927</v>
      </c>
      <c r="AB1093" s="8">
        <f t="shared" si="372"/>
        <v>45291</v>
      </c>
      <c r="AC1093" s="1">
        <v>33</v>
      </c>
      <c r="AD1093" s="1">
        <f t="shared" si="373"/>
        <v>0</v>
      </c>
      <c r="AE1093" s="1">
        <f t="shared" si="374"/>
        <v>0</v>
      </c>
      <c r="AF1093" s="1">
        <f t="shared" si="375"/>
        <v>0</v>
      </c>
      <c r="AG1093" s="1">
        <f t="shared" si="376"/>
        <v>95</v>
      </c>
      <c r="AH1093" s="1">
        <f t="shared" si="377"/>
        <v>0</v>
      </c>
      <c r="AI1093" s="5">
        <f t="shared" si="378"/>
        <v>1</v>
      </c>
      <c r="AJ1093" s="5">
        <f t="shared" si="379"/>
        <v>7.0000000000000007E-2</v>
      </c>
      <c r="AK1093" s="5">
        <f t="shared" si="380"/>
        <v>2.31</v>
      </c>
      <c r="AL1093" s="5">
        <f t="shared" si="381"/>
        <v>2.31</v>
      </c>
      <c r="AM1093" s="5">
        <f t="shared" si="382"/>
        <v>0</v>
      </c>
      <c r="AN1093" s="5">
        <f t="shared" si="383"/>
        <v>2.31</v>
      </c>
      <c r="AO1093" s="1" t="s">
        <v>102</v>
      </c>
    </row>
    <row r="1094" spans="1:42" x14ac:dyDescent="0.25">
      <c r="A1094" s="1" t="s">
        <v>19</v>
      </c>
      <c r="B1094" s="1" t="s">
        <v>50</v>
      </c>
      <c r="C1094" s="1" t="s">
        <v>21</v>
      </c>
      <c r="D1094" s="1" t="s">
        <v>51</v>
      </c>
      <c r="E1094" s="1" t="s">
        <v>96</v>
      </c>
      <c r="F1094" s="1" t="s">
        <v>103</v>
      </c>
      <c r="G1094" s="1" t="s">
        <v>155</v>
      </c>
      <c r="H1094" s="1" t="s">
        <v>1245</v>
      </c>
      <c r="I1094" s="1" t="s">
        <v>174</v>
      </c>
      <c r="J1094" s="1" t="s">
        <v>101</v>
      </c>
      <c r="L1094" s="1">
        <v>3058052</v>
      </c>
      <c r="M1094" s="1" t="s">
        <v>1247</v>
      </c>
      <c r="N1094" s="8">
        <f>DATE(2023,8,1)</f>
        <v>45139</v>
      </c>
      <c r="O1094" s="8">
        <f>DATE(2023,12,22)</f>
        <v>45282</v>
      </c>
      <c r="P1094" s="1">
        <v>56</v>
      </c>
      <c r="Q1094" s="1">
        <v>160</v>
      </c>
      <c r="R1094" s="1">
        <f t="shared" si="366"/>
        <v>56</v>
      </c>
      <c r="S1094" s="1">
        <v>1</v>
      </c>
      <c r="U1094" s="1">
        <f t="shared" si="367"/>
        <v>144</v>
      </c>
      <c r="V1094" s="7">
        <f t="shared" si="368"/>
        <v>0.3888888888888889</v>
      </c>
      <c r="W1094" s="7">
        <f t="shared" si="369"/>
        <v>56</v>
      </c>
      <c r="X1094" s="7">
        <f t="shared" si="370"/>
        <v>7.0000000000000007E-2</v>
      </c>
      <c r="AA1094" s="8">
        <f t="shared" si="371"/>
        <v>44927</v>
      </c>
      <c r="AB1094" s="8">
        <f t="shared" si="372"/>
        <v>45291</v>
      </c>
      <c r="AC1094" s="1">
        <v>30</v>
      </c>
      <c r="AD1094" s="1">
        <f t="shared" si="373"/>
        <v>0</v>
      </c>
      <c r="AE1094" s="1">
        <f t="shared" si="374"/>
        <v>0</v>
      </c>
      <c r="AF1094" s="1">
        <f t="shared" si="375"/>
        <v>0</v>
      </c>
      <c r="AG1094" s="1">
        <f t="shared" si="376"/>
        <v>144</v>
      </c>
      <c r="AH1094" s="1">
        <f t="shared" si="377"/>
        <v>0</v>
      </c>
      <c r="AI1094" s="5">
        <f t="shared" si="378"/>
        <v>1</v>
      </c>
      <c r="AJ1094" s="5">
        <f t="shared" si="379"/>
        <v>7.0000000000000007E-2</v>
      </c>
      <c r="AK1094" s="5">
        <f t="shared" si="380"/>
        <v>2.1</v>
      </c>
      <c r="AL1094" s="5">
        <f t="shared" si="381"/>
        <v>2.1</v>
      </c>
      <c r="AM1094" s="5">
        <f t="shared" si="382"/>
        <v>0</v>
      </c>
      <c r="AN1094" s="5">
        <f t="shared" si="383"/>
        <v>2.1</v>
      </c>
      <c r="AO1094" s="1" t="s">
        <v>102</v>
      </c>
    </row>
    <row r="1095" spans="1:42" x14ac:dyDescent="0.25">
      <c r="A1095" s="1" t="s">
        <v>19</v>
      </c>
      <c r="B1095" s="1" t="s">
        <v>50</v>
      </c>
      <c r="C1095" s="1" t="s">
        <v>21</v>
      </c>
      <c r="D1095" s="1" t="s">
        <v>51</v>
      </c>
      <c r="E1095" s="1" t="s">
        <v>96</v>
      </c>
      <c r="F1095" s="1" t="s">
        <v>103</v>
      </c>
      <c r="G1095" s="1" t="s">
        <v>155</v>
      </c>
      <c r="H1095" s="1" t="s">
        <v>1245</v>
      </c>
      <c r="I1095" s="1" t="s">
        <v>174</v>
      </c>
      <c r="J1095" s="1" t="s">
        <v>101</v>
      </c>
      <c r="L1095" s="1">
        <v>3058053</v>
      </c>
      <c r="M1095" s="1" t="s">
        <v>1247</v>
      </c>
      <c r="N1095" s="8">
        <f>DATE(2023,8,1)</f>
        <v>45139</v>
      </c>
      <c r="O1095" s="8">
        <f>DATE(2023,12,22)</f>
        <v>45282</v>
      </c>
      <c r="P1095" s="1">
        <v>56</v>
      </c>
      <c r="Q1095" s="1">
        <v>160</v>
      </c>
      <c r="R1095" s="1">
        <f t="shared" si="366"/>
        <v>56</v>
      </c>
      <c r="S1095" s="1">
        <v>1</v>
      </c>
      <c r="U1095" s="1">
        <f t="shared" si="367"/>
        <v>144</v>
      </c>
      <c r="V1095" s="7">
        <f t="shared" si="368"/>
        <v>0.3888888888888889</v>
      </c>
      <c r="W1095" s="7">
        <f t="shared" si="369"/>
        <v>56</v>
      </c>
      <c r="X1095" s="7">
        <f t="shared" si="370"/>
        <v>7.0000000000000007E-2</v>
      </c>
      <c r="AA1095" s="8">
        <f t="shared" si="371"/>
        <v>44927</v>
      </c>
      <c r="AB1095" s="8">
        <f t="shared" si="372"/>
        <v>45291</v>
      </c>
      <c r="AC1095" s="1">
        <v>28</v>
      </c>
      <c r="AD1095" s="1">
        <f t="shared" si="373"/>
        <v>0</v>
      </c>
      <c r="AE1095" s="1">
        <f t="shared" si="374"/>
        <v>0</v>
      </c>
      <c r="AF1095" s="1">
        <f t="shared" si="375"/>
        <v>0</v>
      </c>
      <c r="AG1095" s="1">
        <f t="shared" si="376"/>
        <v>144</v>
      </c>
      <c r="AH1095" s="1">
        <f t="shared" si="377"/>
        <v>0</v>
      </c>
      <c r="AI1095" s="5">
        <f t="shared" si="378"/>
        <v>1</v>
      </c>
      <c r="AJ1095" s="5">
        <f t="shared" si="379"/>
        <v>7.0000000000000007E-2</v>
      </c>
      <c r="AK1095" s="5">
        <f t="shared" si="380"/>
        <v>1.9600000000000002</v>
      </c>
      <c r="AL1095" s="5">
        <f t="shared" si="381"/>
        <v>1.9600000000000002</v>
      </c>
      <c r="AM1095" s="5">
        <f t="shared" si="382"/>
        <v>0</v>
      </c>
      <c r="AN1095" s="5">
        <f t="shared" si="383"/>
        <v>1.9600000000000002</v>
      </c>
      <c r="AO1095" s="1" t="s">
        <v>102</v>
      </c>
    </row>
    <row r="1096" spans="1:42" x14ac:dyDescent="0.25">
      <c r="A1096" s="1" t="s">
        <v>19</v>
      </c>
      <c r="B1096" s="1" t="s">
        <v>52</v>
      </c>
      <c r="C1096" s="1" t="s">
        <v>21</v>
      </c>
      <c r="D1096" s="1" t="s">
        <v>53</v>
      </c>
      <c r="E1096" s="1" t="s">
        <v>96</v>
      </c>
      <c r="F1096" s="1" t="s">
        <v>103</v>
      </c>
      <c r="G1096" s="1" t="s">
        <v>98</v>
      </c>
      <c r="H1096" s="1" t="s">
        <v>104</v>
      </c>
      <c r="I1096" s="1" t="s">
        <v>105</v>
      </c>
      <c r="J1096" s="1" t="s">
        <v>106</v>
      </c>
      <c r="L1096" s="1">
        <v>391190</v>
      </c>
      <c r="M1096" s="1" t="s">
        <v>1248</v>
      </c>
      <c r="N1096" s="8">
        <f>DATE(2010,2,1)</f>
        <v>40210</v>
      </c>
      <c r="O1096" s="8">
        <f>DATE(2014,6,27)</f>
        <v>41817</v>
      </c>
      <c r="P1096" s="1">
        <v>4060</v>
      </c>
      <c r="Q1096" s="1">
        <v>3600</v>
      </c>
      <c r="R1096" s="1">
        <f t="shared" si="366"/>
        <v>3600</v>
      </c>
      <c r="S1096" s="1">
        <v>2.5</v>
      </c>
      <c r="U1096" s="1">
        <f t="shared" si="367"/>
        <v>1608</v>
      </c>
      <c r="V1096" s="7">
        <f t="shared" si="368"/>
        <v>2.2388059701492535</v>
      </c>
      <c r="W1096" s="7">
        <f t="shared" si="369"/>
        <v>817.16417910447751</v>
      </c>
      <c r="X1096" s="7">
        <f t="shared" si="370"/>
        <v>1.021455223880597</v>
      </c>
      <c r="AA1096" s="8">
        <f t="shared" si="371"/>
        <v>44927</v>
      </c>
      <c r="AB1096" s="8">
        <f t="shared" si="372"/>
        <v>45291</v>
      </c>
      <c r="AC1096" s="1">
        <v>0</v>
      </c>
      <c r="AD1096" s="1">
        <f t="shared" si="373"/>
        <v>0</v>
      </c>
      <c r="AE1096" s="1">
        <f t="shared" si="374"/>
        <v>0</v>
      </c>
      <c r="AF1096" s="1">
        <f t="shared" si="375"/>
        <v>0</v>
      </c>
      <c r="AG1096" s="1">
        <f t="shared" si="376"/>
        <v>0</v>
      </c>
      <c r="AH1096" s="1">
        <f t="shared" si="377"/>
        <v>182.5</v>
      </c>
      <c r="AI1096" s="5">
        <f t="shared" si="378"/>
        <v>0.5</v>
      </c>
      <c r="AJ1096" s="5">
        <f t="shared" si="379"/>
        <v>0.51072761194029848</v>
      </c>
      <c r="AK1096" s="5">
        <f t="shared" si="380"/>
        <v>0</v>
      </c>
      <c r="AL1096" s="5">
        <f t="shared" si="381"/>
        <v>0</v>
      </c>
      <c r="AM1096" s="5">
        <f t="shared" si="382"/>
        <v>0</v>
      </c>
      <c r="AN1096" s="5">
        <f t="shared" si="383"/>
        <v>0</v>
      </c>
      <c r="AO1096" s="1" t="s">
        <v>102</v>
      </c>
    </row>
    <row r="1097" spans="1:42" x14ac:dyDescent="0.25">
      <c r="A1097" s="45" t="s">
        <v>19</v>
      </c>
      <c r="B1097" s="45" t="s">
        <v>52</v>
      </c>
      <c r="C1097" s="45" t="s">
        <v>21</v>
      </c>
      <c r="D1097" s="45" t="s">
        <v>53</v>
      </c>
      <c r="E1097" s="45" t="s">
        <v>96</v>
      </c>
      <c r="F1097" s="45" t="s">
        <v>103</v>
      </c>
      <c r="G1097" s="45" t="s">
        <v>98</v>
      </c>
      <c r="H1097" s="45" t="s">
        <v>355</v>
      </c>
      <c r="I1097" s="45" t="s">
        <v>105</v>
      </c>
      <c r="J1097" s="45" t="s">
        <v>106</v>
      </c>
      <c r="K1097" s="45"/>
      <c r="L1097" s="45">
        <v>800500</v>
      </c>
      <c r="M1097" s="45" t="s">
        <v>1249</v>
      </c>
      <c r="N1097" s="46">
        <f>DATE(2011,2,14)</f>
        <v>40588</v>
      </c>
      <c r="O1097" s="46">
        <f>DATE(2015,12,11)</f>
        <v>42349</v>
      </c>
      <c r="P1097" s="45">
        <v>4390</v>
      </c>
      <c r="Q1097" s="45">
        <v>3600</v>
      </c>
      <c r="R1097" s="45">
        <f t="shared" si="366"/>
        <v>3600</v>
      </c>
      <c r="S1097" s="45">
        <v>2.5</v>
      </c>
      <c r="T1097" s="45"/>
      <c r="U1097" s="45">
        <f t="shared" si="367"/>
        <v>1762</v>
      </c>
      <c r="V1097" s="47">
        <f t="shared" si="368"/>
        <v>2.0431328036322363</v>
      </c>
      <c r="W1097" s="47">
        <f t="shared" si="369"/>
        <v>745.74347332576622</v>
      </c>
      <c r="X1097" s="47">
        <f t="shared" si="370"/>
        <v>0.93217934165720773</v>
      </c>
      <c r="Y1097" s="47"/>
      <c r="Z1097" s="47"/>
      <c r="AA1097" s="46">
        <f t="shared" si="371"/>
        <v>44927</v>
      </c>
      <c r="AB1097" s="46">
        <f t="shared" si="372"/>
        <v>45291</v>
      </c>
      <c r="AC1097" s="45">
        <v>0</v>
      </c>
      <c r="AD1097" s="45">
        <f t="shared" si="373"/>
        <v>0</v>
      </c>
      <c r="AE1097" s="45">
        <f t="shared" si="374"/>
        <v>0</v>
      </c>
      <c r="AF1097" s="45">
        <f t="shared" si="375"/>
        <v>0</v>
      </c>
      <c r="AG1097" s="45">
        <f t="shared" si="376"/>
        <v>0</v>
      </c>
      <c r="AH1097" s="45">
        <f t="shared" si="377"/>
        <v>182.5</v>
      </c>
      <c r="AI1097" s="48">
        <f t="shared" si="378"/>
        <v>0.5</v>
      </c>
      <c r="AJ1097" s="48">
        <f t="shared" si="379"/>
        <v>0.46608967082860386</v>
      </c>
      <c r="AK1097" s="48">
        <f t="shared" si="380"/>
        <v>0</v>
      </c>
      <c r="AL1097" s="48">
        <f t="shared" si="381"/>
        <v>0</v>
      </c>
      <c r="AM1097" s="48">
        <f t="shared" si="382"/>
        <v>0</v>
      </c>
      <c r="AN1097" s="48">
        <f t="shared" si="383"/>
        <v>0</v>
      </c>
      <c r="AO1097" s="45" t="s">
        <v>102</v>
      </c>
      <c r="AP1097" s="45"/>
    </row>
    <row r="1098" spans="1:42" x14ac:dyDescent="0.25">
      <c r="A1098" s="45" t="s">
        <v>19</v>
      </c>
      <c r="B1098" s="45" t="s">
        <v>52</v>
      </c>
      <c r="C1098" s="45" t="s">
        <v>21</v>
      </c>
      <c r="D1098" s="45" t="s">
        <v>53</v>
      </c>
      <c r="E1098" s="45" t="s">
        <v>96</v>
      </c>
      <c r="F1098" s="45" t="s">
        <v>103</v>
      </c>
      <c r="G1098" s="45" t="s">
        <v>127</v>
      </c>
      <c r="H1098" s="45" t="s">
        <v>1143</v>
      </c>
      <c r="I1098" s="45" t="s">
        <v>162</v>
      </c>
      <c r="J1098" s="45" t="s">
        <v>101</v>
      </c>
      <c r="K1098" s="45"/>
      <c r="L1098" s="45">
        <v>800508</v>
      </c>
      <c r="M1098" s="45" t="s">
        <v>1250</v>
      </c>
      <c r="N1098" s="46">
        <f>DATE(2011,2,21)</f>
        <v>40595</v>
      </c>
      <c r="O1098" s="46">
        <f>DATE(2013,12,20)</f>
        <v>41628</v>
      </c>
      <c r="P1098" s="45">
        <v>2480</v>
      </c>
      <c r="Q1098" s="45">
        <v>2000</v>
      </c>
      <c r="R1098" s="45">
        <f t="shared" si="366"/>
        <v>2000</v>
      </c>
      <c r="S1098" s="45">
        <v>1.5</v>
      </c>
      <c r="T1098" s="45"/>
      <c r="U1098" s="45">
        <f t="shared" si="367"/>
        <v>1034</v>
      </c>
      <c r="V1098" s="47">
        <f t="shared" si="368"/>
        <v>1.9342359767891684</v>
      </c>
      <c r="W1098" s="47">
        <f t="shared" si="369"/>
        <v>705.99613152804648</v>
      </c>
      <c r="X1098" s="47">
        <f t="shared" si="370"/>
        <v>0.88249516441005804</v>
      </c>
      <c r="Y1098" s="47"/>
      <c r="Z1098" s="47"/>
      <c r="AA1098" s="46">
        <f t="shared" si="371"/>
        <v>44927</v>
      </c>
      <c r="AB1098" s="46">
        <f t="shared" si="372"/>
        <v>45291</v>
      </c>
      <c r="AC1098" s="45">
        <v>1</v>
      </c>
      <c r="AD1098" s="45">
        <f t="shared" si="373"/>
        <v>0</v>
      </c>
      <c r="AE1098" s="45">
        <f t="shared" si="374"/>
        <v>0</v>
      </c>
      <c r="AF1098" s="45">
        <f t="shared" si="375"/>
        <v>0</v>
      </c>
      <c r="AG1098" s="45">
        <f t="shared" si="376"/>
        <v>0</v>
      </c>
      <c r="AH1098" s="45">
        <f t="shared" si="377"/>
        <v>182.5</v>
      </c>
      <c r="AI1098" s="48">
        <f t="shared" si="378"/>
        <v>0.5</v>
      </c>
      <c r="AJ1098" s="48">
        <f t="shared" si="379"/>
        <v>0.44124758220502902</v>
      </c>
      <c r="AK1098" s="48">
        <f t="shared" si="380"/>
        <v>0</v>
      </c>
      <c r="AL1098" s="48">
        <f t="shared" si="381"/>
        <v>0</v>
      </c>
      <c r="AM1098" s="48">
        <f t="shared" si="382"/>
        <v>0</v>
      </c>
      <c r="AN1098" s="48">
        <f t="shared" si="383"/>
        <v>0</v>
      </c>
      <c r="AO1098" s="45" t="s">
        <v>102</v>
      </c>
      <c r="AP1098" s="45"/>
    </row>
    <row r="1099" spans="1:42" x14ac:dyDescent="0.25">
      <c r="A1099" s="45" t="s">
        <v>19</v>
      </c>
      <c r="B1099" s="45" t="s">
        <v>52</v>
      </c>
      <c r="C1099" s="45" t="s">
        <v>21</v>
      </c>
      <c r="D1099" s="45" t="s">
        <v>53</v>
      </c>
      <c r="E1099" s="45" t="s">
        <v>96</v>
      </c>
      <c r="F1099" s="45" t="s">
        <v>103</v>
      </c>
      <c r="G1099" s="45" t="s">
        <v>98</v>
      </c>
      <c r="H1099" s="45" t="s">
        <v>355</v>
      </c>
      <c r="I1099" s="45" t="s">
        <v>105</v>
      </c>
      <c r="J1099" s="45" t="s">
        <v>106</v>
      </c>
      <c r="K1099" s="45"/>
      <c r="L1099" s="45">
        <v>1255845</v>
      </c>
      <c r="M1099" s="45" t="s">
        <v>1251</v>
      </c>
      <c r="N1099" s="46">
        <f>DATE(2012,5,7)</f>
        <v>41036</v>
      </c>
      <c r="O1099" s="46">
        <f>DATE(2016,12,23)</f>
        <v>42727</v>
      </c>
      <c r="P1099" s="45">
        <v>4390</v>
      </c>
      <c r="Q1099" s="45">
        <v>3600</v>
      </c>
      <c r="R1099" s="45">
        <f t="shared" si="366"/>
        <v>3600</v>
      </c>
      <c r="S1099" s="45">
        <v>2.5</v>
      </c>
      <c r="T1099" s="45"/>
      <c r="U1099" s="45">
        <f t="shared" si="367"/>
        <v>1692</v>
      </c>
      <c r="V1099" s="47">
        <f t="shared" si="368"/>
        <v>2.1276595744680851</v>
      </c>
      <c r="W1099" s="47">
        <f t="shared" si="369"/>
        <v>776.595744680851</v>
      </c>
      <c r="X1099" s="47">
        <f t="shared" si="370"/>
        <v>0.9707446808510638</v>
      </c>
      <c r="Y1099" s="47"/>
      <c r="Z1099" s="47"/>
      <c r="AA1099" s="46">
        <f t="shared" si="371"/>
        <v>44927</v>
      </c>
      <c r="AB1099" s="46">
        <f t="shared" si="372"/>
        <v>45291</v>
      </c>
      <c r="AC1099" s="45">
        <v>1</v>
      </c>
      <c r="AD1099" s="45">
        <f t="shared" si="373"/>
        <v>0</v>
      </c>
      <c r="AE1099" s="45">
        <f t="shared" si="374"/>
        <v>0</v>
      </c>
      <c r="AF1099" s="45">
        <f t="shared" si="375"/>
        <v>0</v>
      </c>
      <c r="AG1099" s="45">
        <f t="shared" si="376"/>
        <v>0</v>
      </c>
      <c r="AH1099" s="45">
        <f t="shared" si="377"/>
        <v>182.5</v>
      </c>
      <c r="AI1099" s="48">
        <f t="shared" si="378"/>
        <v>0.5</v>
      </c>
      <c r="AJ1099" s="48">
        <f t="shared" si="379"/>
        <v>0.4853723404255319</v>
      </c>
      <c r="AK1099" s="48">
        <f t="shared" si="380"/>
        <v>0</v>
      </c>
      <c r="AL1099" s="48">
        <f t="shared" si="381"/>
        <v>0</v>
      </c>
      <c r="AM1099" s="48">
        <f t="shared" si="382"/>
        <v>0</v>
      </c>
      <c r="AN1099" s="48">
        <f t="shared" si="383"/>
        <v>0</v>
      </c>
      <c r="AO1099" s="45" t="s">
        <v>102</v>
      </c>
      <c r="AP1099" s="45"/>
    </row>
    <row r="1100" spans="1:42" x14ac:dyDescent="0.25">
      <c r="A1100" s="1" t="s">
        <v>19</v>
      </c>
      <c r="B1100" s="1" t="s">
        <v>52</v>
      </c>
      <c r="C1100" s="1" t="s">
        <v>21</v>
      </c>
      <c r="D1100" s="1" t="s">
        <v>53</v>
      </c>
      <c r="E1100" s="1" t="s">
        <v>96</v>
      </c>
      <c r="F1100" s="1" t="s">
        <v>103</v>
      </c>
      <c r="G1100" s="1" t="s">
        <v>98</v>
      </c>
      <c r="H1100" s="1" t="s">
        <v>104</v>
      </c>
      <c r="I1100" s="1" t="s">
        <v>105</v>
      </c>
      <c r="J1100" s="1" t="s">
        <v>106</v>
      </c>
      <c r="L1100" s="1">
        <v>1255819</v>
      </c>
      <c r="M1100" s="1" t="s">
        <v>1252</v>
      </c>
      <c r="N1100" s="8">
        <f>DATE(2012,5,8)</f>
        <v>41037</v>
      </c>
      <c r="O1100" s="8">
        <f>DATE(2016,12,23)</f>
        <v>42727</v>
      </c>
      <c r="P1100" s="1">
        <v>4060</v>
      </c>
      <c r="Q1100" s="1">
        <v>3600</v>
      </c>
      <c r="R1100" s="1">
        <f t="shared" si="366"/>
        <v>3600</v>
      </c>
      <c r="S1100" s="1">
        <v>2.5</v>
      </c>
      <c r="U1100" s="1">
        <f t="shared" si="367"/>
        <v>1691</v>
      </c>
      <c r="V1100" s="7">
        <f t="shared" si="368"/>
        <v>2.1289178001182734</v>
      </c>
      <c r="W1100" s="7">
        <f t="shared" si="369"/>
        <v>777.05499704316981</v>
      </c>
      <c r="X1100" s="7">
        <f t="shared" si="370"/>
        <v>0.97131874630396231</v>
      </c>
      <c r="AA1100" s="8">
        <f t="shared" si="371"/>
        <v>44927</v>
      </c>
      <c r="AB1100" s="8">
        <f t="shared" si="372"/>
        <v>45291</v>
      </c>
      <c r="AC1100" s="1">
        <v>2</v>
      </c>
      <c r="AD1100" s="1">
        <f t="shared" si="373"/>
        <v>0</v>
      </c>
      <c r="AE1100" s="1">
        <f t="shared" si="374"/>
        <v>0</v>
      </c>
      <c r="AF1100" s="1">
        <f t="shared" si="375"/>
        <v>0</v>
      </c>
      <c r="AG1100" s="1">
        <f t="shared" si="376"/>
        <v>0</v>
      </c>
      <c r="AH1100" s="1">
        <f t="shared" si="377"/>
        <v>182.5</v>
      </c>
      <c r="AI1100" s="5">
        <f t="shared" si="378"/>
        <v>0.5</v>
      </c>
      <c r="AJ1100" s="5">
        <f t="shared" si="379"/>
        <v>0.48565937315198116</v>
      </c>
      <c r="AK1100" s="5">
        <f t="shared" si="380"/>
        <v>0</v>
      </c>
      <c r="AL1100" s="5">
        <f t="shared" si="381"/>
        <v>0</v>
      </c>
      <c r="AM1100" s="5">
        <f t="shared" si="382"/>
        <v>0</v>
      </c>
      <c r="AN1100" s="5">
        <f t="shared" si="383"/>
        <v>0</v>
      </c>
      <c r="AO1100" s="1" t="s">
        <v>102</v>
      </c>
    </row>
    <row r="1101" spans="1:42" x14ac:dyDescent="0.25">
      <c r="A1101" s="45" t="s">
        <v>19</v>
      </c>
      <c r="B1101" s="45" t="s">
        <v>52</v>
      </c>
      <c r="C1101" s="45" t="s">
        <v>21</v>
      </c>
      <c r="D1101" s="45" t="s">
        <v>53</v>
      </c>
      <c r="E1101" s="45" t="s">
        <v>96</v>
      </c>
      <c r="F1101" s="45" t="s">
        <v>103</v>
      </c>
      <c r="G1101" s="45" t="s">
        <v>98</v>
      </c>
      <c r="H1101" s="45" t="s">
        <v>355</v>
      </c>
      <c r="I1101" s="45" t="s">
        <v>105</v>
      </c>
      <c r="J1101" s="45" t="s">
        <v>106</v>
      </c>
      <c r="K1101" s="45"/>
      <c r="L1101" s="45">
        <v>1944553</v>
      </c>
      <c r="M1101" s="45" t="s">
        <v>1253</v>
      </c>
      <c r="N1101" s="46">
        <f>DATE(2014,5,5)</f>
        <v>41764</v>
      </c>
      <c r="O1101" s="46">
        <f>DATE(2018,12,20)</f>
        <v>43454</v>
      </c>
      <c r="P1101" s="45">
        <v>4450</v>
      </c>
      <c r="Q1101" s="45">
        <v>3600</v>
      </c>
      <c r="R1101" s="45">
        <f t="shared" si="366"/>
        <v>3600</v>
      </c>
      <c r="S1101" s="45">
        <v>2.5</v>
      </c>
      <c r="T1101" s="45"/>
      <c r="U1101" s="45">
        <f t="shared" si="367"/>
        <v>1691</v>
      </c>
      <c r="V1101" s="47">
        <f t="shared" si="368"/>
        <v>2.1289178001182734</v>
      </c>
      <c r="W1101" s="47">
        <f t="shared" si="369"/>
        <v>777.05499704316981</v>
      </c>
      <c r="X1101" s="47">
        <f t="shared" si="370"/>
        <v>0.97131874630396231</v>
      </c>
      <c r="Y1101" s="47"/>
      <c r="Z1101" s="47"/>
      <c r="AA1101" s="46">
        <f t="shared" si="371"/>
        <v>44927</v>
      </c>
      <c r="AB1101" s="46">
        <f t="shared" si="372"/>
        <v>45291</v>
      </c>
      <c r="AC1101" s="45">
        <v>0</v>
      </c>
      <c r="AD1101" s="45">
        <f t="shared" si="373"/>
        <v>0</v>
      </c>
      <c r="AE1101" s="45">
        <f t="shared" si="374"/>
        <v>0</v>
      </c>
      <c r="AF1101" s="45">
        <f t="shared" si="375"/>
        <v>0</v>
      </c>
      <c r="AG1101" s="45">
        <f t="shared" si="376"/>
        <v>0</v>
      </c>
      <c r="AH1101" s="45">
        <f t="shared" si="377"/>
        <v>182.5</v>
      </c>
      <c r="AI1101" s="48">
        <f t="shared" si="378"/>
        <v>0.5</v>
      </c>
      <c r="AJ1101" s="48">
        <f t="shared" si="379"/>
        <v>0.48565937315198116</v>
      </c>
      <c r="AK1101" s="48">
        <f t="shared" si="380"/>
        <v>0</v>
      </c>
      <c r="AL1101" s="48">
        <f t="shared" si="381"/>
        <v>0</v>
      </c>
      <c r="AM1101" s="48">
        <f t="shared" si="382"/>
        <v>0</v>
      </c>
      <c r="AN1101" s="48">
        <f t="shared" si="383"/>
        <v>0</v>
      </c>
      <c r="AO1101" s="45" t="s">
        <v>102</v>
      </c>
      <c r="AP1101" s="45"/>
    </row>
    <row r="1102" spans="1:42" x14ac:dyDescent="0.25">
      <c r="A1102" s="1" t="s">
        <v>19</v>
      </c>
      <c r="B1102" s="1" t="s">
        <v>52</v>
      </c>
      <c r="C1102" s="1" t="s">
        <v>21</v>
      </c>
      <c r="D1102" s="1" t="s">
        <v>53</v>
      </c>
      <c r="E1102" s="1" t="s">
        <v>96</v>
      </c>
      <c r="F1102" s="1" t="s">
        <v>103</v>
      </c>
      <c r="G1102" s="1" t="s">
        <v>98</v>
      </c>
      <c r="H1102" s="1" t="s">
        <v>104</v>
      </c>
      <c r="I1102" s="1" t="s">
        <v>105</v>
      </c>
      <c r="J1102" s="1" t="s">
        <v>106</v>
      </c>
      <c r="L1102" s="1">
        <v>1966900</v>
      </c>
      <c r="M1102" s="1" t="s">
        <v>1254</v>
      </c>
      <c r="N1102" s="8">
        <f>DATE(2014,5,26)</f>
        <v>41785</v>
      </c>
      <c r="O1102" s="8">
        <f>DATE(2018,5,30)</f>
        <v>43250</v>
      </c>
      <c r="P1102" s="1">
        <v>4450</v>
      </c>
      <c r="Q1102" s="1">
        <v>3600</v>
      </c>
      <c r="R1102" s="1">
        <f t="shared" si="366"/>
        <v>3600</v>
      </c>
      <c r="S1102" s="1">
        <v>2.5</v>
      </c>
      <c r="U1102" s="1">
        <f t="shared" si="367"/>
        <v>1466</v>
      </c>
      <c r="V1102" s="7">
        <f t="shared" si="368"/>
        <v>2.4556616643929057</v>
      </c>
      <c r="W1102" s="7">
        <f t="shared" si="369"/>
        <v>896.31650750341055</v>
      </c>
      <c r="X1102" s="7">
        <f t="shared" si="370"/>
        <v>1.1203956343792632</v>
      </c>
      <c r="AA1102" s="8">
        <f t="shared" si="371"/>
        <v>44927</v>
      </c>
      <c r="AB1102" s="8">
        <f t="shared" si="372"/>
        <v>45291</v>
      </c>
      <c r="AC1102" s="1">
        <v>3</v>
      </c>
      <c r="AD1102" s="1">
        <f t="shared" si="373"/>
        <v>0</v>
      </c>
      <c r="AE1102" s="1">
        <f t="shared" si="374"/>
        <v>0</v>
      </c>
      <c r="AF1102" s="1">
        <f t="shared" si="375"/>
        <v>0</v>
      </c>
      <c r="AG1102" s="1">
        <f t="shared" si="376"/>
        <v>0</v>
      </c>
      <c r="AH1102" s="1">
        <f t="shared" si="377"/>
        <v>182.5</v>
      </c>
      <c r="AI1102" s="5">
        <f t="shared" si="378"/>
        <v>0.5</v>
      </c>
      <c r="AJ1102" s="5">
        <f t="shared" si="379"/>
        <v>0.56019781718963158</v>
      </c>
      <c r="AK1102" s="5">
        <f t="shared" si="380"/>
        <v>0</v>
      </c>
      <c r="AL1102" s="5">
        <f t="shared" si="381"/>
        <v>0</v>
      </c>
      <c r="AM1102" s="5">
        <f t="shared" si="382"/>
        <v>0</v>
      </c>
      <c r="AN1102" s="5">
        <f t="shared" si="383"/>
        <v>0</v>
      </c>
      <c r="AO1102" s="1" t="s">
        <v>102</v>
      </c>
    </row>
    <row r="1103" spans="1:42" x14ac:dyDescent="0.25">
      <c r="A1103" s="45" t="s">
        <v>19</v>
      </c>
      <c r="B1103" s="45" t="s">
        <v>52</v>
      </c>
      <c r="C1103" s="45" t="s">
        <v>21</v>
      </c>
      <c r="D1103" s="45" t="s">
        <v>53</v>
      </c>
      <c r="E1103" s="45" t="s">
        <v>96</v>
      </c>
      <c r="F1103" s="45" t="s">
        <v>103</v>
      </c>
      <c r="G1103" s="45" t="s">
        <v>127</v>
      </c>
      <c r="H1103" s="45" t="s">
        <v>1143</v>
      </c>
      <c r="I1103" s="45" t="s">
        <v>162</v>
      </c>
      <c r="J1103" s="45" t="s">
        <v>101</v>
      </c>
      <c r="K1103" s="45"/>
      <c r="L1103" s="45">
        <v>1985802</v>
      </c>
      <c r="M1103" s="45" t="s">
        <v>1255</v>
      </c>
      <c r="N1103" s="46">
        <f>DATE(2015,3,23)</f>
        <v>42086</v>
      </c>
      <c r="O1103" s="46">
        <f>DATE(2017,12,22)</f>
        <v>43091</v>
      </c>
      <c r="P1103" s="45">
        <v>2480</v>
      </c>
      <c r="Q1103" s="45">
        <v>2000</v>
      </c>
      <c r="R1103" s="45">
        <f t="shared" si="366"/>
        <v>2000</v>
      </c>
      <c r="S1103" s="45">
        <v>1.5</v>
      </c>
      <c r="T1103" s="45"/>
      <c r="U1103" s="45">
        <f t="shared" si="367"/>
        <v>1006</v>
      </c>
      <c r="V1103" s="47">
        <f t="shared" si="368"/>
        <v>1.9880715705765408</v>
      </c>
      <c r="W1103" s="47">
        <f t="shared" si="369"/>
        <v>725.64612326043743</v>
      </c>
      <c r="X1103" s="47">
        <f t="shared" si="370"/>
        <v>0.90705765407554684</v>
      </c>
      <c r="Y1103" s="47"/>
      <c r="Z1103" s="47"/>
      <c r="AA1103" s="46">
        <f t="shared" si="371"/>
        <v>44927</v>
      </c>
      <c r="AB1103" s="46">
        <f t="shared" si="372"/>
        <v>45291</v>
      </c>
      <c r="AC1103" s="45">
        <v>1</v>
      </c>
      <c r="AD1103" s="45">
        <f t="shared" si="373"/>
        <v>0</v>
      </c>
      <c r="AE1103" s="45">
        <f t="shared" si="374"/>
        <v>0</v>
      </c>
      <c r="AF1103" s="45">
        <f t="shared" si="375"/>
        <v>0</v>
      </c>
      <c r="AG1103" s="45">
        <f t="shared" si="376"/>
        <v>0</v>
      </c>
      <c r="AH1103" s="45">
        <f t="shared" si="377"/>
        <v>182.5</v>
      </c>
      <c r="AI1103" s="48">
        <f t="shared" si="378"/>
        <v>0.5</v>
      </c>
      <c r="AJ1103" s="48">
        <f t="shared" si="379"/>
        <v>0.45352882703777342</v>
      </c>
      <c r="AK1103" s="48">
        <f t="shared" si="380"/>
        <v>0</v>
      </c>
      <c r="AL1103" s="48">
        <f t="shared" si="381"/>
        <v>0</v>
      </c>
      <c r="AM1103" s="48">
        <f t="shared" si="382"/>
        <v>0</v>
      </c>
      <c r="AN1103" s="48">
        <f t="shared" si="383"/>
        <v>0</v>
      </c>
      <c r="AO1103" s="45" t="s">
        <v>102</v>
      </c>
      <c r="AP1103" s="45"/>
    </row>
    <row r="1104" spans="1:42" x14ac:dyDescent="0.25">
      <c r="A1104" s="45" t="s">
        <v>19</v>
      </c>
      <c r="B1104" s="45" t="s">
        <v>52</v>
      </c>
      <c r="C1104" s="45" t="s">
        <v>21</v>
      </c>
      <c r="D1104" s="45" t="s">
        <v>53</v>
      </c>
      <c r="E1104" s="45" t="s">
        <v>96</v>
      </c>
      <c r="F1104" s="45" t="s">
        <v>103</v>
      </c>
      <c r="G1104" s="45" t="s">
        <v>98</v>
      </c>
      <c r="H1104" s="45" t="s">
        <v>355</v>
      </c>
      <c r="I1104" s="45" t="s">
        <v>105</v>
      </c>
      <c r="J1104" s="45" t="s">
        <v>106</v>
      </c>
      <c r="K1104" s="45"/>
      <c r="L1104" s="45">
        <v>1985805</v>
      </c>
      <c r="M1104" s="45" t="s">
        <v>1256</v>
      </c>
      <c r="N1104" s="46">
        <f>DATE(2015,3,23)</f>
        <v>42086</v>
      </c>
      <c r="O1104" s="46">
        <f>DATE(2019,12,20)</f>
        <v>43819</v>
      </c>
      <c r="P1104" s="45">
        <v>4390</v>
      </c>
      <c r="Q1104" s="45">
        <v>3600</v>
      </c>
      <c r="R1104" s="45">
        <f t="shared" si="366"/>
        <v>3600</v>
      </c>
      <c r="S1104" s="45">
        <v>2.5</v>
      </c>
      <c r="T1104" s="45"/>
      <c r="U1104" s="45">
        <f t="shared" si="367"/>
        <v>1734</v>
      </c>
      <c r="V1104" s="47">
        <f t="shared" si="368"/>
        <v>2.0761245674740483</v>
      </c>
      <c r="W1104" s="47">
        <f t="shared" si="369"/>
        <v>757.78546712802768</v>
      </c>
      <c r="X1104" s="47">
        <f t="shared" si="370"/>
        <v>0.94723183391003463</v>
      </c>
      <c r="Y1104" s="47"/>
      <c r="Z1104" s="47"/>
      <c r="AA1104" s="46">
        <f t="shared" si="371"/>
        <v>44927</v>
      </c>
      <c r="AB1104" s="46">
        <f t="shared" si="372"/>
        <v>45291</v>
      </c>
      <c r="AC1104" s="45">
        <v>0</v>
      </c>
      <c r="AD1104" s="45">
        <f t="shared" si="373"/>
        <v>0</v>
      </c>
      <c r="AE1104" s="45">
        <f t="shared" si="374"/>
        <v>0</v>
      </c>
      <c r="AF1104" s="45">
        <f t="shared" si="375"/>
        <v>0</v>
      </c>
      <c r="AG1104" s="45">
        <f t="shared" si="376"/>
        <v>0</v>
      </c>
      <c r="AH1104" s="45">
        <f t="shared" si="377"/>
        <v>182.5</v>
      </c>
      <c r="AI1104" s="48">
        <f t="shared" si="378"/>
        <v>0.5</v>
      </c>
      <c r="AJ1104" s="48">
        <f t="shared" si="379"/>
        <v>0.47361591695501731</v>
      </c>
      <c r="AK1104" s="48">
        <f t="shared" si="380"/>
        <v>0</v>
      </c>
      <c r="AL1104" s="48">
        <f t="shared" si="381"/>
        <v>0</v>
      </c>
      <c r="AM1104" s="48">
        <f t="shared" si="382"/>
        <v>0</v>
      </c>
      <c r="AN1104" s="48">
        <f t="shared" si="383"/>
        <v>0</v>
      </c>
      <c r="AO1104" s="45" t="s">
        <v>102</v>
      </c>
      <c r="AP1104" s="45"/>
    </row>
    <row r="1105" spans="1:42" x14ac:dyDescent="0.25">
      <c r="A1105" s="45" t="s">
        <v>19</v>
      </c>
      <c r="B1105" s="45" t="s">
        <v>52</v>
      </c>
      <c r="C1105" s="45" t="s">
        <v>21</v>
      </c>
      <c r="D1105" s="45" t="s">
        <v>53</v>
      </c>
      <c r="E1105" s="45" t="s">
        <v>96</v>
      </c>
      <c r="F1105" s="45" t="s">
        <v>103</v>
      </c>
      <c r="G1105" s="45" t="s">
        <v>98</v>
      </c>
      <c r="H1105" s="45" t="s">
        <v>355</v>
      </c>
      <c r="I1105" s="45" t="s">
        <v>105</v>
      </c>
      <c r="J1105" s="45" t="s">
        <v>106</v>
      </c>
      <c r="K1105" s="45"/>
      <c r="L1105" s="45">
        <v>1986059</v>
      </c>
      <c r="M1105" s="45" t="s">
        <v>1256</v>
      </c>
      <c r="N1105" s="46">
        <f>DATE(2015,3,23)</f>
        <v>42086</v>
      </c>
      <c r="O1105" s="46">
        <f>DATE(2019,12,20)</f>
        <v>43819</v>
      </c>
      <c r="P1105" s="45">
        <v>4450</v>
      </c>
      <c r="Q1105" s="45">
        <v>3600</v>
      </c>
      <c r="R1105" s="45">
        <f t="shared" si="366"/>
        <v>3600</v>
      </c>
      <c r="S1105" s="45">
        <v>2.5</v>
      </c>
      <c r="T1105" s="45"/>
      <c r="U1105" s="45">
        <f t="shared" si="367"/>
        <v>1734</v>
      </c>
      <c r="V1105" s="47">
        <f t="shared" si="368"/>
        <v>2.0761245674740483</v>
      </c>
      <c r="W1105" s="47">
        <f t="shared" si="369"/>
        <v>757.78546712802768</v>
      </c>
      <c r="X1105" s="47">
        <f t="shared" si="370"/>
        <v>0.94723183391003463</v>
      </c>
      <c r="Y1105" s="47"/>
      <c r="Z1105" s="47"/>
      <c r="AA1105" s="46">
        <f t="shared" si="371"/>
        <v>44927</v>
      </c>
      <c r="AB1105" s="46">
        <f t="shared" si="372"/>
        <v>45291</v>
      </c>
      <c r="AC1105" s="45">
        <v>1</v>
      </c>
      <c r="AD1105" s="45">
        <f t="shared" si="373"/>
        <v>0</v>
      </c>
      <c r="AE1105" s="45">
        <f t="shared" si="374"/>
        <v>0</v>
      </c>
      <c r="AF1105" s="45">
        <f t="shared" si="375"/>
        <v>0</v>
      </c>
      <c r="AG1105" s="45">
        <f t="shared" si="376"/>
        <v>0</v>
      </c>
      <c r="AH1105" s="45">
        <f t="shared" si="377"/>
        <v>182.5</v>
      </c>
      <c r="AI1105" s="48">
        <f t="shared" si="378"/>
        <v>0.5</v>
      </c>
      <c r="AJ1105" s="48">
        <f t="shared" si="379"/>
        <v>0.47361591695501731</v>
      </c>
      <c r="AK1105" s="48">
        <f t="shared" si="380"/>
        <v>0</v>
      </c>
      <c r="AL1105" s="48">
        <f t="shared" si="381"/>
        <v>0</v>
      </c>
      <c r="AM1105" s="48">
        <f t="shared" si="382"/>
        <v>0</v>
      </c>
      <c r="AN1105" s="48">
        <f t="shared" si="383"/>
        <v>0</v>
      </c>
      <c r="AO1105" s="45" t="s">
        <v>102</v>
      </c>
      <c r="AP1105" s="45"/>
    </row>
    <row r="1106" spans="1:42" x14ac:dyDescent="0.25">
      <c r="A1106" s="1" t="s">
        <v>19</v>
      </c>
      <c r="B1106" s="1" t="s">
        <v>52</v>
      </c>
      <c r="C1106" s="1" t="s">
        <v>21</v>
      </c>
      <c r="D1106" s="1" t="s">
        <v>53</v>
      </c>
      <c r="E1106" s="1" t="s">
        <v>96</v>
      </c>
      <c r="F1106" s="1" t="s">
        <v>103</v>
      </c>
      <c r="G1106" s="1" t="s">
        <v>98</v>
      </c>
      <c r="H1106" s="1" t="s">
        <v>104</v>
      </c>
      <c r="I1106" s="1" t="s">
        <v>105</v>
      </c>
      <c r="J1106" s="1" t="s">
        <v>106</v>
      </c>
      <c r="L1106" s="1">
        <v>1986523</v>
      </c>
      <c r="M1106" s="1" t="s">
        <v>1257</v>
      </c>
      <c r="N1106" s="8">
        <f>DATE(2015,3,23)</f>
        <v>42086</v>
      </c>
      <c r="O1106" s="8">
        <f>DATE(2019,12,20)</f>
        <v>43819</v>
      </c>
      <c r="P1106" s="1">
        <v>4450</v>
      </c>
      <c r="Q1106" s="1">
        <v>3600</v>
      </c>
      <c r="R1106" s="1">
        <f t="shared" si="366"/>
        <v>3600</v>
      </c>
      <c r="S1106" s="1">
        <v>2.5</v>
      </c>
      <c r="U1106" s="1">
        <f t="shared" si="367"/>
        <v>1734</v>
      </c>
      <c r="V1106" s="7">
        <f t="shared" si="368"/>
        <v>2.0761245674740483</v>
      </c>
      <c r="W1106" s="7">
        <f t="shared" si="369"/>
        <v>757.78546712802768</v>
      </c>
      <c r="X1106" s="7">
        <f t="shared" si="370"/>
        <v>0.94723183391003463</v>
      </c>
      <c r="AA1106" s="8">
        <f t="shared" si="371"/>
        <v>44927</v>
      </c>
      <c r="AB1106" s="8">
        <f t="shared" si="372"/>
        <v>45291</v>
      </c>
      <c r="AC1106" s="1">
        <v>0</v>
      </c>
      <c r="AD1106" s="1">
        <f t="shared" si="373"/>
        <v>0</v>
      </c>
      <c r="AE1106" s="1">
        <f t="shared" si="374"/>
        <v>0</v>
      </c>
      <c r="AF1106" s="1">
        <f t="shared" si="375"/>
        <v>0</v>
      </c>
      <c r="AG1106" s="1">
        <f t="shared" si="376"/>
        <v>0</v>
      </c>
      <c r="AH1106" s="1">
        <f t="shared" si="377"/>
        <v>182.5</v>
      </c>
      <c r="AI1106" s="5">
        <f t="shared" si="378"/>
        <v>0.5</v>
      </c>
      <c r="AJ1106" s="5">
        <f t="shared" si="379"/>
        <v>0.47361591695501731</v>
      </c>
      <c r="AK1106" s="5">
        <f t="shared" si="380"/>
        <v>0</v>
      </c>
      <c r="AL1106" s="5">
        <f t="shared" si="381"/>
        <v>0</v>
      </c>
      <c r="AM1106" s="5">
        <f t="shared" si="382"/>
        <v>0</v>
      </c>
      <c r="AN1106" s="5">
        <f t="shared" si="383"/>
        <v>0</v>
      </c>
      <c r="AO1106" s="1" t="s">
        <v>102</v>
      </c>
    </row>
    <row r="1107" spans="1:42" x14ac:dyDescent="0.25">
      <c r="A1107" s="1" t="s">
        <v>19</v>
      </c>
      <c r="B1107" s="1" t="s">
        <v>52</v>
      </c>
      <c r="C1107" s="1" t="s">
        <v>21</v>
      </c>
      <c r="D1107" s="1" t="s">
        <v>53</v>
      </c>
      <c r="E1107" s="1" t="s">
        <v>96</v>
      </c>
      <c r="F1107" s="1" t="s">
        <v>103</v>
      </c>
      <c r="G1107" s="1" t="s">
        <v>98</v>
      </c>
      <c r="H1107" s="1" t="s">
        <v>104</v>
      </c>
      <c r="I1107" s="1" t="s">
        <v>105</v>
      </c>
      <c r="J1107" s="1" t="s">
        <v>106</v>
      </c>
      <c r="L1107" s="1">
        <v>2021674</v>
      </c>
      <c r="M1107" s="1" t="s">
        <v>1258</v>
      </c>
      <c r="N1107" s="8">
        <f>DATE(2016,4,25)</f>
        <v>42485</v>
      </c>
      <c r="O1107" s="8">
        <f>DATE(2020,12,21)</f>
        <v>44186</v>
      </c>
      <c r="P1107" s="1">
        <v>4450</v>
      </c>
      <c r="Q1107" s="1">
        <v>3600</v>
      </c>
      <c r="R1107" s="1">
        <f t="shared" si="366"/>
        <v>3600</v>
      </c>
      <c r="S1107" s="1">
        <v>2.5</v>
      </c>
      <c r="U1107" s="1">
        <f t="shared" si="367"/>
        <v>1702</v>
      </c>
      <c r="V1107" s="7">
        <f t="shared" si="368"/>
        <v>2.1151586368977675</v>
      </c>
      <c r="W1107" s="7">
        <f t="shared" si="369"/>
        <v>772.03290246768518</v>
      </c>
      <c r="X1107" s="7">
        <f t="shared" si="370"/>
        <v>0.96504112808460651</v>
      </c>
      <c r="AA1107" s="8">
        <f t="shared" si="371"/>
        <v>44927</v>
      </c>
      <c r="AB1107" s="8">
        <f t="shared" si="372"/>
        <v>45291</v>
      </c>
      <c r="AC1107" s="1">
        <v>4</v>
      </c>
      <c r="AD1107" s="1">
        <f t="shared" si="373"/>
        <v>0</v>
      </c>
      <c r="AE1107" s="1">
        <f t="shared" si="374"/>
        <v>0</v>
      </c>
      <c r="AF1107" s="1">
        <f t="shared" si="375"/>
        <v>0</v>
      </c>
      <c r="AG1107" s="1">
        <f t="shared" si="376"/>
        <v>0</v>
      </c>
      <c r="AH1107" s="1">
        <f t="shared" si="377"/>
        <v>182.5</v>
      </c>
      <c r="AI1107" s="5">
        <f t="shared" si="378"/>
        <v>0.5</v>
      </c>
      <c r="AJ1107" s="5">
        <f t="shared" si="379"/>
        <v>0.48252056404230326</v>
      </c>
      <c r="AK1107" s="5">
        <f t="shared" si="380"/>
        <v>0.96504112808460651</v>
      </c>
      <c r="AL1107" s="5">
        <f t="shared" si="381"/>
        <v>2.4126028202115162</v>
      </c>
      <c r="AM1107" s="5">
        <f t="shared" si="382"/>
        <v>1.2063014101057581</v>
      </c>
      <c r="AN1107" s="5">
        <f t="shared" si="383"/>
        <v>3.6189042303172743</v>
      </c>
      <c r="AO1107" s="1" t="s">
        <v>102</v>
      </c>
    </row>
    <row r="1108" spans="1:42" x14ac:dyDescent="0.25">
      <c r="A1108" s="1" t="s">
        <v>19</v>
      </c>
      <c r="B1108" s="1" t="s">
        <v>52</v>
      </c>
      <c r="C1108" s="1" t="s">
        <v>21</v>
      </c>
      <c r="D1108" s="1" t="s">
        <v>53</v>
      </c>
      <c r="E1108" s="1" t="s">
        <v>96</v>
      </c>
      <c r="F1108" s="1" t="s">
        <v>103</v>
      </c>
      <c r="G1108" s="1" t="s">
        <v>114</v>
      </c>
      <c r="H1108" s="1" t="s">
        <v>119</v>
      </c>
      <c r="I1108" s="1" t="s">
        <v>105</v>
      </c>
      <c r="J1108" s="1" t="s">
        <v>106</v>
      </c>
      <c r="K1108" s="1" t="s">
        <v>116</v>
      </c>
      <c r="L1108" s="1">
        <v>2024672</v>
      </c>
      <c r="M1108" s="1" t="s">
        <v>1259</v>
      </c>
      <c r="N1108" s="8">
        <f>DATE(2016,4,25)</f>
        <v>42485</v>
      </c>
      <c r="O1108" s="8">
        <f>DATE(2018,12,21)</f>
        <v>43455</v>
      </c>
      <c r="P1108" s="1">
        <v>4680</v>
      </c>
      <c r="Q1108" s="1">
        <v>1200</v>
      </c>
      <c r="R1108" s="1">
        <f t="shared" si="366"/>
        <v>3200</v>
      </c>
      <c r="S1108" s="1">
        <v>2.5</v>
      </c>
      <c r="U1108" s="1">
        <f t="shared" si="367"/>
        <v>971</v>
      </c>
      <c r="V1108" s="7">
        <f t="shared" si="368"/>
        <v>3.2955715756951598</v>
      </c>
      <c r="W1108" s="7">
        <f t="shared" si="369"/>
        <v>1202.8836251287332</v>
      </c>
      <c r="X1108" s="7">
        <f t="shared" si="370"/>
        <v>1.5036045314109165</v>
      </c>
      <c r="AA1108" s="8">
        <f t="shared" si="371"/>
        <v>44927</v>
      </c>
      <c r="AB1108" s="8">
        <f t="shared" si="372"/>
        <v>45291</v>
      </c>
      <c r="AC1108" s="1">
        <v>2</v>
      </c>
      <c r="AD1108" s="1">
        <f t="shared" si="373"/>
        <v>0</v>
      </c>
      <c r="AE1108" s="1">
        <f t="shared" si="374"/>
        <v>0</v>
      </c>
      <c r="AF1108" s="1">
        <f t="shared" si="375"/>
        <v>0</v>
      </c>
      <c r="AG1108" s="1">
        <f t="shared" si="376"/>
        <v>0</v>
      </c>
      <c r="AH1108" s="1">
        <f t="shared" si="377"/>
        <v>182.5</v>
      </c>
      <c r="AI1108" s="5">
        <f t="shared" si="378"/>
        <v>0.5</v>
      </c>
      <c r="AJ1108" s="5">
        <f t="shared" si="379"/>
        <v>0.75180226570545827</v>
      </c>
      <c r="AK1108" s="5">
        <f t="shared" si="380"/>
        <v>0</v>
      </c>
      <c r="AL1108" s="5">
        <f t="shared" si="381"/>
        <v>0</v>
      </c>
      <c r="AM1108" s="5">
        <f t="shared" si="382"/>
        <v>0</v>
      </c>
      <c r="AN1108" s="5">
        <f t="shared" si="383"/>
        <v>0</v>
      </c>
      <c r="AO1108" s="1" t="s">
        <v>102</v>
      </c>
    </row>
    <row r="1109" spans="1:42" x14ac:dyDescent="0.25">
      <c r="A1109" s="45" t="s">
        <v>19</v>
      </c>
      <c r="B1109" s="45" t="s">
        <v>52</v>
      </c>
      <c r="C1109" s="45" t="s">
        <v>21</v>
      </c>
      <c r="D1109" s="45" t="s">
        <v>53</v>
      </c>
      <c r="E1109" s="45" t="s">
        <v>96</v>
      </c>
      <c r="F1109" s="45" t="s">
        <v>103</v>
      </c>
      <c r="G1109" s="45" t="s">
        <v>98</v>
      </c>
      <c r="H1109" s="45" t="s">
        <v>355</v>
      </c>
      <c r="I1109" s="45" t="s">
        <v>105</v>
      </c>
      <c r="J1109" s="45" t="s">
        <v>106</v>
      </c>
      <c r="K1109" s="45"/>
      <c r="L1109" s="45">
        <v>2028225</v>
      </c>
      <c r="M1109" s="45" t="s">
        <v>1260</v>
      </c>
      <c r="N1109" s="46">
        <f>DATE(2016,4,25)</f>
        <v>42485</v>
      </c>
      <c r="O1109" s="46">
        <f>DATE(2020,12,19)</f>
        <v>44184</v>
      </c>
      <c r="P1109" s="45">
        <v>4390</v>
      </c>
      <c r="Q1109" s="45">
        <v>3600</v>
      </c>
      <c r="R1109" s="45">
        <f t="shared" si="366"/>
        <v>3600</v>
      </c>
      <c r="S1109" s="45">
        <v>2.5</v>
      </c>
      <c r="T1109" s="45"/>
      <c r="U1109" s="45">
        <f t="shared" si="367"/>
        <v>1700</v>
      </c>
      <c r="V1109" s="47">
        <f t="shared" si="368"/>
        <v>2.1176470588235294</v>
      </c>
      <c r="W1109" s="47">
        <f t="shared" si="369"/>
        <v>772.94117647058829</v>
      </c>
      <c r="X1109" s="47">
        <f t="shared" si="370"/>
        <v>0.96617647058823541</v>
      </c>
      <c r="Y1109" s="47"/>
      <c r="Z1109" s="47"/>
      <c r="AA1109" s="46">
        <f t="shared" si="371"/>
        <v>44927</v>
      </c>
      <c r="AB1109" s="46">
        <f t="shared" si="372"/>
        <v>45291</v>
      </c>
      <c r="AC1109" s="45">
        <v>9</v>
      </c>
      <c r="AD1109" s="45">
        <f t="shared" si="373"/>
        <v>0</v>
      </c>
      <c r="AE1109" s="45">
        <f t="shared" si="374"/>
        <v>0</v>
      </c>
      <c r="AF1109" s="45">
        <f t="shared" si="375"/>
        <v>0</v>
      </c>
      <c r="AG1109" s="45">
        <f t="shared" si="376"/>
        <v>0</v>
      </c>
      <c r="AH1109" s="45">
        <f t="shared" si="377"/>
        <v>182.5</v>
      </c>
      <c r="AI1109" s="48">
        <f t="shared" si="378"/>
        <v>0.5</v>
      </c>
      <c r="AJ1109" s="48">
        <f t="shared" si="379"/>
        <v>0.48308823529411771</v>
      </c>
      <c r="AK1109" s="48">
        <f t="shared" si="380"/>
        <v>2.1738970588235298</v>
      </c>
      <c r="AL1109" s="48">
        <f t="shared" si="381"/>
        <v>5.4347426470588243</v>
      </c>
      <c r="AM1109" s="48">
        <f t="shared" si="382"/>
        <v>2.7173713235294121</v>
      </c>
      <c r="AN1109" s="48">
        <f t="shared" si="383"/>
        <v>8.1521139705882355</v>
      </c>
      <c r="AO1109" s="45" t="s">
        <v>102</v>
      </c>
      <c r="AP1109" s="45"/>
    </row>
    <row r="1110" spans="1:42" x14ac:dyDescent="0.25">
      <c r="A1110" s="45" t="s">
        <v>19</v>
      </c>
      <c r="B1110" s="45" t="s">
        <v>52</v>
      </c>
      <c r="C1110" s="45" t="s">
        <v>21</v>
      </c>
      <c r="D1110" s="45" t="s">
        <v>53</v>
      </c>
      <c r="E1110" s="45" t="s">
        <v>96</v>
      </c>
      <c r="F1110" s="45" t="s">
        <v>103</v>
      </c>
      <c r="G1110" s="45" t="s">
        <v>98</v>
      </c>
      <c r="H1110" s="45" t="s">
        <v>355</v>
      </c>
      <c r="I1110" s="45" t="s">
        <v>105</v>
      </c>
      <c r="J1110" s="45" t="s">
        <v>106</v>
      </c>
      <c r="K1110" s="45"/>
      <c r="L1110" s="45">
        <v>2028229</v>
      </c>
      <c r="M1110" s="45" t="s">
        <v>1260</v>
      </c>
      <c r="N1110" s="46">
        <f>DATE(2016,4,25)</f>
        <v>42485</v>
      </c>
      <c r="O1110" s="46">
        <f>DATE(2020,12,19)</f>
        <v>44184</v>
      </c>
      <c r="P1110" s="45">
        <v>4430</v>
      </c>
      <c r="Q1110" s="45">
        <v>3600</v>
      </c>
      <c r="R1110" s="45">
        <f t="shared" si="366"/>
        <v>3600</v>
      </c>
      <c r="S1110" s="45">
        <v>2.5</v>
      </c>
      <c r="T1110" s="45"/>
      <c r="U1110" s="45">
        <f t="shared" si="367"/>
        <v>1700</v>
      </c>
      <c r="V1110" s="47">
        <f t="shared" si="368"/>
        <v>2.1176470588235294</v>
      </c>
      <c r="W1110" s="47">
        <f t="shared" si="369"/>
        <v>772.94117647058829</v>
      </c>
      <c r="X1110" s="47">
        <f t="shared" si="370"/>
        <v>0.96617647058823541</v>
      </c>
      <c r="Y1110" s="47"/>
      <c r="Z1110" s="47"/>
      <c r="AA1110" s="46">
        <f t="shared" si="371"/>
        <v>44927</v>
      </c>
      <c r="AB1110" s="46">
        <f t="shared" si="372"/>
        <v>45291</v>
      </c>
      <c r="AC1110" s="45">
        <v>6</v>
      </c>
      <c r="AD1110" s="45">
        <f t="shared" si="373"/>
        <v>0</v>
      </c>
      <c r="AE1110" s="45">
        <f t="shared" si="374"/>
        <v>0</v>
      </c>
      <c r="AF1110" s="45">
        <f t="shared" si="375"/>
        <v>0</v>
      </c>
      <c r="AG1110" s="45">
        <f t="shared" si="376"/>
        <v>0</v>
      </c>
      <c r="AH1110" s="45">
        <f t="shared" si="377"/>
        <v>182.5</v>
      </c>
      <c r="AI1110" s="48">
        <f t="shared" si="378"/>
        <v>0.5</v>
      </c>
      <c r="AJ1110" s="48">
        <f t="shared" si="379"/>
        <v>0.48308823529411771</v>
      </c>
      <c r="AK1110" s="48">
        <f t="shared" si="380"/>
        <v>1.4492647058823531</v>
      </c>
      <c r="AL1110" s="48">
        <f t="shared" si="381"/>
        <v>3.6231617647058827</v>
      </c>
      <c r="AM1110" s="48">
        <f t="shared" si="382"/>
        <v>1.8115808823529413</v>
      </c>
      <c r="AN1110" s="48">
        <f t="shared" si="383"/>
        <v>5.4347426470588243</v>
      </c>
      <c r="AO1110" s="45" t="s">
        <v>102</v>
      </c>
      <c r="AP1110" s="45"/>
    </row>
    <row r="1111" spans="1:42" x14ac:dyDescent="0.25">
      <c r="A1111" s="45" t="s">
        <v>19</v>
      </c>
      <c r="B1111" s="45" t="s">
        <v>52</v>
      </c>
      <c r="C1111" s="45" t="s">
        <v>21</v>
      </c>
      <c r="D1111" s="45" t="s">
        <v>53</v>
      </c>
      <c r="E1111" s="45" t="s">
        <v>96</v>
      </c>
      <c r="F1111" s="45" t="s">
        <v>103</v>
      </c>
      <c r="G1111" s="45" t="s">
        <v>127</v>
      </c>
      <c r="H1111" s="45" t="s">
        <v>1143</v>
      </c>
      <c r="I1111" s="45" t="s">
        <v>162</v>
      </c>
      <c r="J1111" s="45" t="s">
        <v>101</v>
      </c>
      <c r="K1111" s="45"/>
      <c r="L1111" s="45">
        <v>2028231</v>
      </c>
      <c r="M1111" s="45" t="s">
        <v>1261</v>
      </c>
      <c r="N1111" s="46">
        <f>DATE(2016,4,25)</f>
        <v>42485</v>
      </c>
      <c r="O1111" s="46">
        <f>DATE(2018,12,22)</f>
        <v>43456</v>
      </c>
      <c r="P1111" s="45">
        <v>2290</v>
      </c>
      <c r="Q1111" s="45">
        <v>2000</v>
      </c>
      <c r="R1111" s="45">
        <f t="shared" si="366"/>
        <v>2000</v>
      </c>
      <c r="S1111" s="45">
        <v>1.5</v>
      </c>
      <c r="T1111" s="45"/>
      <c r="U1111" s="45">
        <f t="shared" si="367"/>
        <v>972</v>
      </c>
      <c r="V1111" s="47">
        <f t="shared" si="368"/>
        <v>2.0576131687242798</v>
      </c>
      <c r="W1111" s="47">
        <f t="shared" si="369"/>
        <v>751.02880658436209</v>
      </c>
      <c r="X1111" s="47">
        <f t="shared" si="370"/>
        <v>0.93878600823045266</v>
      </c>
      <c r="Y1111" s="47"/>
      <c r="Z1111" s="47"/>
      <c r="AA1111" s="46">
        <f t="shared" si="371"/>
        <v>44927</v>
      </c>
      <c r="AB1111" s="46">
        <f t="shared" si="372"/>
        <v>45291</v>
      </c>
      <c r="AC1111" s="45">
        <v>1</v>
      </c>
      <c r="AD1111" s="45">
        <f t="shared" si="373"/>
        <v>0</v>
      </c>
      <c r="AE1111" s="45">
        <f t="shared" si="374"/>
        <v>0</v>
      </c>
      <c r="AF1111" s="45">
        <f t="shared" si="375"/>
        <v>0</v>
      </c>
      <c r="AG1111" s="45">
        <f t="shared" si="376"/>
        <v>0</v>
      </c>
      <c r="AH1111" s="45">
        <f t="shared" si="377"/>
        <v>182.5</v>
      </c>
      <c r="AI1111" s="48">
        <f t="shared" si="378"/>
        <v>0.5</v>
      </c>
      <c r="AJ1111" s="48">
        <f t="shared" si="379"/>
        <v>0.46939300411522633</v>
      </c>
      <c r="AK1111" s="48">
        <f t="shared" si="380"/>
        <v>0</v>
      </c>
      <c r="AL1111" s="48">
        <f t="shared" si="381"/>
        <v>0</v>
      </c>
      <c r="AM1111" s="48">
        <f t="shared" si="382"/>
        <v>0</v>
      </c>
      <c r="AN1111" s="48">
        <f t="shared" si="383"/>
        <v>0</v>
      </c>
      <c r="AO1111" s="45" t="s">
        <v>102</v>
      </c>
      <c r="AP1111" s="45"/>
    </row>
    <row r="1112" spans="1:42" x14ac:dyDescent="0.25">
      <c r="A1112" s="1" t="s">
        <v>19</v>
      </c>
      <c r="B1112" s="1" t="s">
        <v>52</v>
      </c>
      <c r="C1112" s="1" t="s">
        <v>21</v>
      </c>
      <c r="D1112" s="1" t="s">
        <v>53</v>
      </c>
      <c r="E1112" s="1" t="s">
        <v>96</v>
      </c>
      <c r="F1112" s="1" t="s">
        <v>103</v>
      </c>
      <c r="G1112" s="1" t="s">
        <v>114</v>
      </c>
      <c r="H1112" s="1" t="s">
        <v>119</v>
      </c>
      <c r="I1112" s="1" t="s">
        <v>105</v>
      </c>
      <c r="J1112" s="1" t="s">
        <v>106</v>
      </c>
      <c r="K1112" s="1" t="s">
        <v>116</v>
      </c>
      <c r="L1112" s="1">
        <v>2129321</v>
      </c>
      <c r="M1112" s="1" t="s">
        <v>1262</v>
      </c>
      <c r="N1112" s="8">
        <f>DATE(2017,3,6)</f>
        <v>42800</v>
      </c>
      <c r="O1112" s="8">
        <f>DATE(2019,12,27)</f>
        <v>43826</v>
      </c>
      <c r="P1112" s="1">
        <v>3882</v>
      </c>
      <c r="Q1112" s="1">
        <v>1200</v>
      </c>
      <c r="R1112" s="1">
        <f t="shared" si="366"/>
        <v>3200</v>
      </c>
      <c r="S1112" s="1">
        <v>2.5</v>
      </c>
      <c r="U1112" s="1">
        <f t="shared" si="367"/>
        <v>1027</v>
      </c>
      <c r="V1112" s="7">
        <f t="shared" si="368"/>
        <v>3.1158714703018502</v>
      </c>
      <c r="W1112" s="7">
        <f t="shared" si="369"/>
        <v>1137.2930866601753</v>
      </c>
      <c r="X1112" s="7">
        <f t="shared" si="370"/>
        <v>1.421616358325219</v>
      </c>
      <c r="AA1112" s="8">
        <f t="shared" si="371"/>
        <v>44927</v>
      </c>
      <c r="AB1112" s="8">
        <f t="shared" si="372"/>
        <v>45291</v>
      </c>
      <c r="AC1112" s="1">
        <v>2</v>
      </c>
      <c r="AD1112" s="1">
        <f t="shared" si="373"/>
        <v>0</v>
      </c>
      <c r="AE1112" s="1">
        <f t="shared" si="374"/>
        <v>0</v>
      </c>
      <c r="AF1112" s="1">
        <f t="shared" si="375"/>
        <v>0</v>
      </c>
      <c r="AG1112" s="1">
        <f t="shared" si="376"/>
        <v>0</v>
      </c>
      <c r="AH1112" s="1">
        <f t="shared" si="377"/>
        <v>182.5</v>
      </c>
      <c r="AI1112" s="5">
        <f t="shared" si="378"/>
        <v>0.5</v>
      </c>
      <c r="AJ1112" s="5">
        <f t="shared" si="379"/>
        <v>0.71080817916260952</v>
      </c>
      <c r="AK1112" s="5">
        <f t="shared" si="380"/>
        <v>0</v>
      </c>
      <c r="AL1112" s="5">
        <f t="shared" si="381"/>
        <v>0</v>
      </c>
      <c r="AM1112" s="5">
        <f t="shared" si="382"/>
        <v>0</v>
      </c>
      <c r="AN1112" s="5">
        <f t="shared" si="383"/>
        <v>0</v>
      </c>
      <c r="AO1112" s="1" t="s">
        <v>102</v>
      </c>
    </row>
    <row r="1113" spans="1:42" x14ac:dyDescent="0.25">
      <c r="A1113" s="1" t="s">
        <v>19</v>
      </c>
      <c r="B1113" s="1" t="s">
        <v>52</v>
      </c>
      <c r="C1113" s="1" t="s">
        <v>21</v>
      </c>
      <c r="D1113" s="1" t="s">
        <v>53</v>
      </c>
      <c r="E1113" s="1" t="s">
        <v>96</v>
      </c>
      <c r="F1113" s="1" t="s">
        <v>103</v>
      </c>
      <c r="G1113" s="1" t="s">
        <v>98</v>
      </c>
      <c r="H1113" s="1" t="s">
        <v>104</v>
      </c>
      <c r="I1113" s="1" t="s">
        <v>105</v>
      </c>
      <c r="J1113" s="1" t="s">
        <v>106</v>
      </c>
      <c r="L1113" s="1">
        <v>2147562</v>
      </c>
      <c r="M1113" s="1" t="s">
        <v>1263</v>
      </c>
      <c r="N1113" s="8">
        <f>DATE(2017,3,20)</f>
        <v>42814</v>
      </c>
      <c r="O1113" s="8">
        <f>DATE(2021,12,17)</f>
        <v>44547</v>
      </c>
      <c r="P1113" s="1">
        <v>4640</v>
      </c>
      <c r="Q1113" s="1">
        <v>3600</v>
      </c>
      <c r="R1113" s="1">
        <f t="shared" si="366"/>
        <v>3600</v>
      </c>
      <c r="S1113" s="1">
        <v>2.5</v>
      </c>
      <c r="U1113" s="1">
        <f t="shared" si="367"/>
        <v>1734</v>
      </c>
      <c r="V1113" s="7">
        <f t="shared" si="368"/>
        <v>2.0761245674740483</v>
      </c>
      <c r="W1113" s="7">
        <f t="shared" si="369"/>
        <v>757.78546712802768</v>
      </c>
      <c r="X1113" s="7">
        <f t="shared" si="370"/>
        <v>0.94723183391003463</v>
      </c>
      <c r="AA1113" s="8">
        <f t="shared" si="371"/>
        <v>44927</v>
      </c>
      <c r="AB1113" s="8">
        <f t="shared" si="372"/>
        <v>45291</v>
      </c>
      <c r="AC1113" s="1">
        <v>13</v>
      </c>
      <c r="AD1113" s="1">
        <f t="shared" si="373"/>
        <v>0</v>
      </c>
      <c r="AE1113" s="1">
        <f t="shared" si="374"/>
        <v>0</v>
      </c>
      <c r="AF1113" s="1">
        <f t="shared" si="375"/>
        <v>0</v>
      </c>
      <c r="AG1113" s="1">
        <f t="shared" si="376"/>
        <v>0</v>
      </c>
      <c r="AH1113" s="1">
        <f t="shared" si="377"/>
        <v>182.5</v>
      </c>
      <c r="AI1113" s="5">
        <f t="shared" si="378"/>
        <v>0.5</v>
      </c>
      <c r="AJ1113" s="5">
        <f t="shared" si="379"/>
        <v>0.47361591695501731</v>
      </c>
      <c r="AK1113" s="5">
        <f t="shared" si="380"/>
        <v>3.0785034602076125</v>
      </c>
      <c r="AL1113" s="5">
        <f t="shared" si="381"/>
        <v>7.6962586505190309</v>
      </c>
      <c r="AM1113" s="5">
        <f t="shared" si="382"/>
        <v>3.8481293252595155</v>
      </c>
      <c r="AN1113" s="5">
        <f t="shared" si="383"/>
        <v>11.544387975778546</v>
      </c>
      <c r="AO1113" s="1" t="s">
        <v>102</v>
      </c>
    </row>
    <row r="1114" spans="1:42" x14ac:dyDescent="0.25">
      <c r="A1114" s="1" t="s">
        <v>19</v>
      </c>
      <c r="B1114" s="1" t="s">
        <v>52</v>
      </c>
      <c r="C1114" s="1" t="s">
        <v>21</v>
      </c>
      <c r="D1114" s="1" t="s">
        <v>53</v>
      </c>
      <c r="E1114" s="1" t="s">
        <v>96</v>
      </c>
      <c r="F1114" s="1" t="s">
        <v>103</v>
      </c>
      <c r="G1114" s="1" t="s">
        <v>320</v>
      </c>
      <c r="H1114" s="1" t="s">
        <v>491</v>
      </c>
      <c r="I1114" s="1" t="s">
        <v>174</v>
      </c>
      <c r="J1114" s="1" t="s">
        <v>101</v>
      </c>
      <c r="L1114" s="1">
        <v>2149876</v>
      </c>
      <c r="M1114" s="1" t="s">
        <v>1264</v>
      </c>
      <c r="N1114" s="8">
        <f>DATE(2017,3,20)</f>
        <v>42814</v>
      </c>
      <c r="O1114" s="8">
        <f>DATE(2020,12,31)</f>
        <v>44196</v>
      </c>
      <c r="P1114" s="1">
        <v>3226</v>
      </c>
      <c r="Q1114" s="1">
        <v>3200</v>
      </c>
      <c r="R1114" s="1">
        <f t="shared" si="366"/>
        <v>3200</v>
      </c>
      <c r="S1114" s="1">
        <v>2.5</v>
      </c>
      <c r="U1114" s="1">
        <f t="shared" si="367"/>
        <v>1383</v>
      </c>
      <c r="V1114" s="7">
        <f t="shared" si="368"/>
        <v>2.3138105567606653</v>
      </c>
      <c r="W1114" s="7">
        <f t="shared" si="369"/>
        <v>844.54085321764285</v>
      </c>
      <c r="X1114" s="7">
        <f t="shared" si="370"/>
        <v>1.0556760665220535</v>
      </c>
      <c r="AA1114" s="8">
        <f t="shared" si="371"/>
        <v>44927</v>
      </c>
      <c r="AB1114" s="8">
        <f t="shared" si="372"/>
        <v>45291</v>
      </c>
      <c r="AC1114" s="1">
        <v>5</v>
      </c>
      <c r="AD1114" s="1">
        <f t="shared" si="373"/>
        <v>0</v>
      </c>
      <c r="AE1114" s="1">
        <f t="shared" si="374"/>
        <v>0</v>
      </c>
      <c r="AF1114" s="1">
        <f t="shared" si="375"/>
        <v>0</v>
      </c>
      <c r="AG1114" s="1">
        <f t="shared" si="376"/>
        <v>0</v>
      </c>
      <c r="AH1114" s="1">
        <f t="shared" si="377"/>
        <v>182.5</v>
      </c>
      <c r="AI1114" s="5">
        <f t="shared" si="378"/>
        <v>0.5</v>
      </c>
      <c r="AJ1114" s="5">
        <f t="shared" si="379"/>
        <v>0.52783803326102674</v>
      </c>
      <c r="AK1114" s="5">
        <f t="shared" si="380"/>
        <v>1.3195950831525669</v>
      </c>
      <c r="AL1114" s="5">
        <f t="shared" si="381"/>
        <v>3.2989877078814174</v>
      </c>
      <c r="AM1114" s="5">
        <f t="shared" si="382"/>
        <v>0</v>
      </c>
      <c r="AN1114" s="5">
        <f t="shared" si="383"/>
        <v>3.2989877078814174</v>
      </c>
      <c r="AO1114" s="1" t="s">
        <v>102</v>
      </c>
    </row>
    <row r="1115" spans="1:42" x14ac:dyDescent="0.25">
      <c r="A1115" s="45" t="s">
        <v>19</v>
      </c>
      <c r="B1115" s="45" t="s">
        <v>52</v>
      </c>
      <c r="C1115" s="45" t="s">
        <v>21</v>
      </c>
      <c r="D1115" s="45" t="s">
        <v>53</v>
      </c>
      <c r="E1115" s="45" t="s">
        <v>96</v>
      </c>
      <c r="F1115" s="45" t="s">
        <v>103</v>
      </c>
      <c r="G1115" s="45" t="s">
        <v>98</v>
      </c>
      <c r="H1115" s="45" t="s">
        <v>355</v>
      </c>
      <c r="I1115" s="45" t="s">
        <v>105</v>
      </c>
      <c r="J1115" s="45" t="s">
        <v>106</v>
      </c>
      <c r="K1115" s="45"/>
      <c r="L1115" s="45">
        <v>2151193</v>
      </c>
      <c r="M1115" s="45" t="s">
        <v>1265</v>
      </c>
      <c r="N1115" s="46">
        <f>DATE(2017,3,20)</f>
        <v>42814</v>
      </c>
      <c r="O1115" s="46">
        <f>DATE(2021,12,23)</f>
        <v>44553</v>
      </c>
      <c r="P1115" s="45">
        <v>4390</v>
      </c>
      <c r="Q1115" s="45">
        <v>3600</v>
      </c>
      <c r="R1115" s="45">
        <f t="shared" si="366"/>
        <v>3600</v>
      </c>
      <c r="S1115" s="45">
        <v>2.5</v>
      </c>
      <c r="T1115" s="45"/>
      <c r="U1115" s="45">
        <f t="shared" si="367"/>
        <v>1740</v>
      </c>
      <c r="V1115" s="47">
        <f t="shared" si="368"/>
        <v>2.0689655172413794</v>
      </c>
      <c r="W1115" s="47">
        <f t="shared" si="369"/>
        <v>755.17241379310349</v>
      </c>
      <c r="X1115" s="47">
        <f t="shared" si="370"/>
        <v>0.94396551724137934</v>
      </c>
      <c r="Y1115" s="47"/>
      <c r="Z1115" s="47"/>
      <c r="AA1115" s="46">
        <f t="shared" si="371"/>
        <v>44927</v>
      </c>
      <c r="AB1115" s="46">
        <f t="shared" si="372"/>
        <v>45291</v>
      </c>
      <c r="AC1115" s="45">
        <v>6</v>
      </c>
      <c r="AD1115" s="45">
        <f t="shared" si="373"/>
        <v>0</v>
      </c>
      <c r="AE1115" s="45">
        <f t="shared" si="374"/>
        <v>0</v>
      </c>
      <c r="AF1115" s="45">
        <f t="shared" si="375"/>
        <v>0</v>
      </c>
      <c r="AG1115" s="45">
        <f t="shared" si="376"/>
        <v>0</v>
      </c>
      <c r="AH1115" s="45">
        <f t="shared" si="377"/>
        <v>182.5</v>
      </c>
      <c r="AI1115" s="48">
        <f t="shared" si="378"/>
        <v>0.5</v>
      </c>
      <c r="AJ1115" s="48">
        <f t="shared" si="379"/>
        <v>0.47198275862068967</v>
      </c>
      <c r="AK1115" s="48">
        <f t="shared" si="380"/>
        <v>1.415948275862069</v>
      </c>
      <c r="AL1115" s="48">
        <f t="shared" si="381"/>
        <v>3.5398706896551726</v>
      </c>
      <c r="AM1115" s="48">
        <f t="shared" si="382"/>
        <v>1.7699353448275863</v>
      </c>
      <c r="AN1115" s="48">
        <f t="shared" si="383"/>
        <v>5.3098060344827589</v>
      </c>
      <c r="AO1115" s="45" t="s">
        <v>102</v>
      </c>
      <c r="AP1115" s="45"/>
    </row>
    <row r="1116" spans="1:42" x14ac:dyDescent="0.25">
      <c r="A1116" s="45" t="s">
        <v>19</v>
      </c>
      <c r="B1116" s="45" t="s">
        <v>52</v>
      </c>
      <c r="C1116" s="45" t="s">
        <v>21</v>
      </c>
      <c r="D1116" s="45" t="s">
        <v>53</v>
      </c>
      <c r="E1116" s="45" t="s">
        <v>96</v>
      </c>
      <c r="F1116" s="45" t="s">
        <v>103</v>
      </c>
      <c r="G1116" s="45" t="s">
        <v>98</v>
      </c>
      <c r="H1116" s="45" t="s">
        <v>355</v>
      </c>
      <c r="I1116" s="45" t="s">
        <v>105</v>
      </c>
      <c r="J1116" s="45" t="s">
        <v>106</v>
      </c>
      <c r="K1116" s="45"/>
      <c r="L1116" s="45">
        <v>2151194</v>
      </c>
      <c r="M1116" s="45" t="s">
        <v>1265</v>
      </c>
      <c r="N1116" s="46">
        <f>DATE(2017,3,20)</f>
        <v>42814</v>
      </c>
      <c r="O1116" s="46">
        <f>DATE(2021,12,23)</f>
        <v>44553</v>
      </c>
      <c r="P1116" s="45">
        <v>4450</v>
      </c>
      <c r="Q1116" s="45">
        <v>3600</v>
      </c>
      <c r="R1116" s="45">
        <f t="shared" si="366"/>
        <v>3600</v>
      </c>
      <c r="S1116" s="45">
        <v>2.5</v>
      </c>
      <c r="T1116" s="45"/>
      <c r="U1116" s="45">
        <f t="shared" si="367"/>
        <v>1740</v>
      </c>
      <c r="V1116" s="47">
        <f t="shared" si="368"/>
        <v>2.0689655172413794</v>
      </c>
      <c r="W1116" s="47">
        <f t="shared" si="369"/>
        <v>755.17241379310349</v>
      </c>
      <c r="X1116" s="47">
        <f t="shared" si="370"/>
        <v>0.94396551724137934</v>
      </c>
      <c r="Y1116" s="47"/>
      <c r="Z1116" s="47"/>
      <c r="AA1116" s="46">
        <f t="shared" si="371"/>
        <v>44927</v>
      </c>
      <c r="AB1116" s="46">
        <f t="shared" si="372"/>
        <v>45291</v>
      </c>
      <c r="AC1116" s="45">
        <v>5</v>
      </c>
      <c r="AD1116" s="45">
        <f t="shared" si="373"/>
        <v>0</v>
      </c>
      <c r="AE1116" s="45">
        <f t="shared" si="374"/>
        <v>0</v>
      </c>
      <c r="AF1116" s="45">
        <f t="shared" si="375"/>
        <v>0</v>
      </c>
      <c r="AG1116" s="45">
        <f t="shared" si="376"/>
        <v>0</v>
      </c>
      <c r="AH1116" s="45">
        <f t="shared" si="377"/>
        <v>182.5</v>
      </c>
      <c r="AI1116" s="48">
        <f t="shared" si="378"/>
        <v>0.5</v>
      </c>
      <c r="AJ1116" s="48">
        <f t="shared" si="379"/>
        <v>0.47198275862068967</v>
      </c>
      <c r="AK1116" s="48">
        <f t="shared" si="380"/>
        <v>1.1799568965517242</v>
      </c>
      <c r="AL1116" s="48">
        <f t="shared" si="381"/>
        <v>2.9498922413793105</v>
      </c>
      <c r="AM1116" s="48">
        <f t="shared" si="382"/>
        <v>1.4749461206896552</v>
      </c>
      <c r="AN1116" s="48">
        <f t="shared" si="383"/>
        <v>4.4248383620689662</v>
      </c>
      <c r="AO1116" s="45" t="s">
        <v>102</v>
      </c>
      <c r="AP1116" s="45"/>
    </row>
    <row r="1117" spans="1:42" x14ac:dyDescent="0.25">
      <c r="A1117" s="45" t="s">
        <v>19</v>
      </c>
      <c r="B1117" s="45" t="s">
        <v>52</v>
      </c>
      <c r="C1117" s="45" t="s">
        <v>21</v>
      </c>
      <c r="D1117" s="45" t="s">
        <v>53</v>
      </c>
      <c r="E1117" s="45" t="s">
        <v>96</v>
      </c>
      <c r="F1117" s="45" t="s">
        <v>103</v>
      </c>
      <c r="G1117" s="45" t="s">
        <v>127</v>
      </c>
      <c r="H1117" s="45" t="s">
        <v>1143</v>
      </c>
      <c r="I1117" s="45" t="s">
        <v>162</v>
      </c>
      <c r="J1117" s="45" t="s">
        <v>101</v>
      </c>
      <c r="K1117" s="45"/>
      <c r="L1117" s="45">
        <v>2171623</v>
      </c>
      <c r="M1117" s="45" t="s">
        <v>1266</v>
      </c>
      <c r="N1117" s="46">
        <f>DATE(2017,3,20)</f>
        <v>42814</v>
      </c>
      <c r="O1117" s="46">
        <f>DATE(2019,12,20)</f>
        <v>43819</v>
      </c>
      <c r="P1117" s="45">
        <v>2290</v>
      </c>
      <c r="Q1117" s="45">
        <v>2000</v>
      </c>
      <c r="R1117" s="45">
        <f t="shared" si="366"/>
        <v>2000</v>
      </c>
      <c r="S1117" s="45">
        <v>1.5</v>
      </c>
      <c r="T1117" s="45"/>
      <c r="U1117" s="45">
        <f t="shared" si="367"/>
        <v>1006</v>
      </c>
      <c r="V1117" s="47">
        <f t="shared" si="368"/>
        <v>1.9880715705765408</v>
      </c>
      <c r="W1117" s="47">
        <f t="shared" si="369"/>
        <v>725.64612326043743</v>
      </c>
      <c r="X1117" s="47">
        <f t="shared" si="370"/>
        <v>0.90705765407554684</v>
      </c>
      <c r="Y1117" s="47"/>
      <c r="Z1117" s="47"/>
      <c r="AA1117" s="46">
        <f t="shared" si="371"/>
        <v>44927</v>
      </c>
      <c r="AB1117" s="46">
        <f t="shared" si="372"/>
        <v>45291</v>
      </c>
      <c r="AC1117" s="45">
        <v>3</v>
      </c>
      <c r="AD1117" s="45">
        <f t="shared" si="373"/>
        <v>0</v>
      </c>
      <c r="AE1117" s="45">
        <f t="shared" si="374"/>
        <v>0</v>
      </c>
      <c r="AF1117" s="45">
        <f t="shared" si="375"/>
        <v>0</v>
      </c>
      <c r="AG1117" s="45">
        <f t="shared" si="376"/>
        <v>0</v>
      </c>
      <c r="AH1117" s="45">
        <f t="shared" si="377"/>
        <v>182.5</v>
      </c>
      <c r="AI1117" s="48">
        <f t="shared" si="378"/>
        <v>0.5</v>
      </c>
      <c r="AJ1117" s="48">
        <f t="shared" si="379"/>
        <v>0.45352882703777342</v>
      </c>
      <c r="AK1117" s="48">
        <f t="shared" si="380"/>
        <v>0</v>
      </c>
      <c r="AL1117" s="48">
        <f t="shared" si="381"/>
        <v>0</v>
      </c>
      <c r="AM1117" s="48">
        <f t="shared" si="382"/>
        <v>0</v>
      </c>
      <c r="AN1117" s="48">
        <f t="shared" si="383"/>
        <v>0</v>
      </c>
      <c r="AO1117" s="45" t="s">
        <v>102</v>
      </c>
      <c r="AP1117" s="45"/>
    </row>
    <row r="1118" spans="1:42" x14ac:dyDescent="0.25">
      <c r="A1118" s="1" t="s">
        <v>19</v>
      </c>
      <c r="B1118" s="1" t="s">
        <v>52</v>
      </c>
      <c r="C1118" s="1" t="s">
        <v>21</v>
      </c>
      <c r="D1118" s="1" t="s">
        <v>53</v>
      </c>
      <c r="E1118" s="1" t="s">
        <v>96</v>
      </c>
      <c r="F1118" s="1" t="s">
        <v>103</v>
      </c>
      <c r="G1118" s="1" t="s">
        <v>98</v>
      </c>
      <c r="H1118" s="1" t="s">
        <v>104</v>
      </c>
      <c r="I1118" s="1" t="s">
        <v>105</v>
      </c>
      <c r="J1118" s="1" t="s">
        <v>106</v>
      </c>
      <c r="L1118" s="1">
        <v>2472806</v>
      </c>
      <c r="M1118" s="1" t="s">
        <v>1267</v>
      </c>
      <c r="N1118" s="8">
        <f t="shared" ref="N1118:N1123" si="384">DATE(2018,3,5)</f>
        <v>43164</v>
      </c>
      <c r="O1118" s="8">
        <f>DATE(2022,12,23)</f>
        <v>44918</v>
      </c>
      <c r="P1118" s="1">
        <v>4640</v>
      </c>
      <c r="Q1118" s="1">
        <v>3600</v>
      </c>
      <c r="R1118" s="1">
        <f t="shared" si="366"/>
        <v>3600</v>
      </c>
      <c r="S1118" s="1">
        <v>2.5</v>
      </c>
      <c r="U1118" s="1">
        <f t="shared" si="367"/>
        <v>1755</v>
      </c>
      <c r="V1118" s="7">
        <f t="shared" si="368"/>
        <v>2.0512820512820511</v>
      </c>
      <c r="W1118" s="7">
        <f t="shared" si="369"/>
        <v>748.71794871794862</v>
      </c>
      <c r="X1118" s="7">
        <f t="shared" si="370"/>
        <v>0.93589743589743579</v>
      </c>
      <c r="AA1118" s="8">
        <f t="shared" si="371"/>
        <v>44927</v>
      </c>
      <c r="AB1118" s="8">
        <f t="shared" si="372"/>
        <v>45291</v>
      </c>
      <c r="AC1118" s="1">
        <v>13</v>
      </c>
      <c r="AD1118" s="1">
        <f t="shared" si="373"/>
        <v>0</v>
      </c>
      <c r="AE1118" s="1">
        <f t="shared" si="374"/>
        <v>0</v>
      </c>
      <c r="AF1118" s="1">
        <f t="shared" si="375"/>
        <v>0</v>
      </c>
      <c r="AG1118" s="1">
        <f t="shared" si="376"/>
        <v>0</v>
      </c>
      <c r="AH1118" s="1">
        <f t="shared" si="377"/>
        <v>182.5</v>
      </c>
      <c r="AI1118" s="5">
        <f t="shared" si="378"/>
        <v>0.5</v>
      </c>
      <c r="AJ1118" s="5">
        <f t="shared" si="379"/>
        <v>0.4679487179487179</v>
      </c>
      <c r="AK1118" s="5">
        <f t="shared" si="380"/>
        <v>3.0416666666666665</v>
      </c>
      <c r="AL1118" s="5">
        <f t="shared" si="381"/>
        <v>7.6041666666666661</v>
      </c>
      <c r="AM1118" s="5">
        <f t="shared" si="382"/>
        <v>3.802083333333333</v>
      </c>
      <c r="AN1118" s="5">
        <f t="shared" si="383"/>
        <v>11.40625</v>
      </c>
      <c r="AO1118" s="1" t="s">
        <v>102</v>
      </c>
    </row>
    <row r="1119" spans="1:42" x14ac:dyDescent="0.25">
      <c r="A1119" s="1" t="s">
        <v>19</v>
      </c>
      <c r="B1119" s="1" t="s">
        <v>52</v>
      </c>
      <c r="C1119" s="1" t="s">
        <v>21</v>
      </c>
      <c r="D1119" s="1" t="s">
        <v>53</v>
      </c>
      <c r="E1119" s="1" t="s">
        <v>96</v>
      </c>
      <c r="F1119" s="1" t="s">
        <v>103</v>
      </c>
      <c r="G1119" s="1" t="s">
        <v>320</v>
      </c>
      <c r="H1119" s="1" t="s">
        <v>491</v>
      </c>
      <c r="I1119" s="1" t="s">
        <v>174</v>
      </c>
      <c r="J1119" s="1" t="s">
        <v>101</v>
      </c>
      <c r="L1119" s="1">
        <v>2473919</v>
      </c>
      <c r="M1119" s="1" t="s">
        <v>1268</v>
      </c>
      <c r="N1119" s="8">
        <f t="shared" si="384"/>
        <v>43164</v>
      </c>
      <c r="O1119" s="8">
        <f>DATE(2021,12,31)</f>
        <v>44561</v>
      </c>
      <c r="P1119" s="1">
        <v>3226</v>
      </c>
      <c r="Q1119" s="1">
        <v>3200</v>
      </c>
      <c r="R1119" s="1">
        <f t="shared" si="366"/>
        <v>3200</v>
      </c>
      <c r="S1119" s="1">
        <v>2.5</v>
      </c>
      <c r="U1119" s="1">
        <f t="shared" si="367"/>
        <v>1398</v>
      </c>
      <c r="V1119" s="7">
        <f t="shared" si="368"/>
        <v>2.2889842632331905</v>
      </c>
      <c r="W1119" s="7">
        <f t="shared" si="369"/>
        <v>835.47925608011451</v>
      </c>
      <c r="X1119" s="7">
        <f t="shared" si="370"/>
        <v>1.0443490701001432</v>
      </c>
      <c r="AA1119" s="8">
        <f t="shared" si="371"/>
        <v>44927</v>
      </c>
      <c r="AB1119" s="8">
        <f t="shared" si="372"/>
        <v>45291</v>
      </c>
      <c r="AC1119" s="1">
        <v>4</v>
      </c>
      <c r="AD1119" s="1">
        <f t="shared" si="373"/>
        <v>0</v>
      </c>
      <c r="AE1119" s="1">
        <f t="shared" si="374"/>
        <v>0</v>
      </c>
      <c r="AF1119" s="1">
        <f t="shared" si="375"/>
        <v>0</v>
      </c>
      <c r="AG1119" s="1">
        <f t="shared" si="376"/>
        <v>0</v>
      </c>
      <c r="AH1119" s="1">
        <f t="shared" si="377"/>
        <v>182.5</v>
      </c>
      <c r="AI1119" s="5">
        <f t="shared" si="378"/>
        <v>0.5</v>
      </c>
      <c r="AJ1119" s="5">
        <f t="shared" si="379"/>
        <v>0.52217453505007161</v>
      </c>
      <c r="AK1119" s="5">
        <f t="shared" si="380"/>
        <v>1.0443490701001432</v>
      </c>
      <c r="AL1119" s="5">
        <f t="shared" si="381"/>
        <v>2.6108726752503579</v>
      </c>
      <c r="AM1119" s="5">
        <f t="shared" si="382"/>
        <v>0</v>
      </c>
      <c r="AN1119" s="5">
        <f t="shared" si="383"/>
        <v>2.6108726752503579</v>
      </c>
      <c r="AO1119" s="1" t="s">
        <v>102</v>
      </c>
    </row>
    <row r="1120" spans="1:42" x14ac:dyDescent="0.25">
      <c r="A1120" s="1" t="s">
        <v>19</v>
      </c>
      <c r="B1120" s="1" t="s">
        <v>52</v>
      </c>
      <c r="C1120" s="1" t="s">
        <v>21</v>
      </c>
      <c r="D1120" s="1" t="s">
        <v>53</v>
      </c>
      <c r="E1120" s="1" t="s">
        <v>96</v>
      </c>
      <c r="F1120" s="1" t="s">
        <v>103</v>
      </c>
      <c r="G1120" s="1" t="s">
        <v>114</v>
      </c>
      <c r="H1120" s="1" t="s">
        <v>119</v>
      </c>
      <c r="I1120" s="1" t="s">
        <v>105</v>
      </c>
      <c r="J1120" s="1" t="s">
        <v>106</v>
      </c>
      <c r="K1120" s="1" t="s">
        <v>116</v>
      </c>
      <c r="L1120" s="1">
        <v>2482355</v>
      </c>
      <c r="M1120" s="1" t="s">
        <v>1269</v>
      </c>
      <c r="N1120" s="8">
        <f t="shared" si="384"/>
        <v>43164</v>
      </c>
      <c r="O1120" s="8">
        <f>DATE(2020,12,18)</f>
        <v>44183</v>
      </c>
      <c r="P1120" s="1">
        <v>3882</v>
      </c>
      <c r="Q1120" s="1">
        <v>1200</v>
      </c>
      <c r="R1120" s="1">
        <f t="shared" si="366"/>
        <v>3200</v>
      </c>
      <c r="S1120" s="1">
        <v>2.5</v>
      </c>
      <c r="U1120" s="1">
        <f t="shared" si="367"/>
        <v>1020</v>
      </c>
      <c r="V1120" s="7">
        <f t="shared" si="368"/>
        <v>3.1372549019607843</v>
      </c>
      <c r="W1120" s="7">
        <f t="shared" si="369"/>
        <v>1145.0980392156862</v>
      </c>
      <c r="X1120" s="7">
        <f t="shared" si="370"/>
        <v>1.4313725490196076</v>
      </c>
      <c r="AA1120" s="8">
        <f t="shared" si="371"/>
        <v>44927</v>
      </c>
      <c r="AB1120" s="8">
        <f t="shared" si="372"/>
        <v>45291</v>
      </c>
      <c r="AC1120" s="1">
        <v>14</v>
      </c>
      <c r="AD1120" s="1">
        <f t="shared" si="373"/>
        <v>0</v>
      </c>
      <c r="AE1120" s="1">
        <f t="shared" si="374"/>
        <v>0</v>
      </c>
      <c r="AF1120" s="1">
        <f t="shared" si="375"/>
        <v>0</v>
      </c>
      <c r="AG1120" s="1">
        <f t="shared" si="376"/>
        <v>0</v>
      </c>
      <c r="AH1120" s="1">
        <f t="shared" si="377"/>
        <v>182.5</v>
      </c>
      <c r="AI1120" s="5">
        <f t="shared" si="378"/>
        <v>0.5</v>
      </c>
      <c r="AJ1120" s="5">
        <f t="shared" si="379"/>
        <v>0.71568627450980382</v>
      </c>
      <c r="AK1120" s="5">
        <f t="shared" si="380"/>
        <v>5.0098039215686265</v>
      </c>
      <c r="AL1120" s="5">
        <f t="shared" si="381"/>
        <v>12.524509803921566</v>
      </c>
      <c r="AM1120" s="5">
        <f t="shared" si="382"/>
        <v>6.2622549019607829</v>
      </c>
      <c r="AN1120" s="5">
        <f t="shared" si="383"/>
        <v>18.786764705882348</v>
      </c>
      <c r="AO1120" s="1" t="s">
        <v>102</v>
      </c>
    </row>
    <row r="1121" spans="1:42" x14ac:dyDescent="0.25">
      <c r="A1121" s="45" t="s">
        <v>19</v>
      </c>
      <c r="B1121" s="45" t="s">
        <v>52</v>
      </c>
      <c r="C1121" s="45" t="s">
        <v>21</v>
      </c>
      <c r="D1121" s="45" t="s">
        <v>53</v>
      </c>
      <c r="E1121" s="45" t="s">
        <v>96</v>
      </c>
      <c r="F1121" s="45" t="s">
        <v>103</v>
      </c>
      <c r="G1121" s="45" t="s">
        <v>127</v>
      </c>
      <c r="H1121" s="45" t="s">
        <v>1143</v>
      </c>
      <c r="I1121" s="45" t="s">
        <v>162</v>
      </c>
      <c r="J1121" s="45" t="s">
        <v>101</v>
      </c>
      <c r="K1121" s="45"/>
      <c r="L1121" s="45">
        <v>2483411</v>
      </c>
      <c r="M1121" s="45" t="s">
        <v>1270</v>
      </c>
      <c r="N1121" s="46">
        <f t="shared" si="384"/>
        <v>43164</v>
      </c>
      <c r="O1121" s="46">
        <f>DATE(2020,12,22)</f>
        <v>44187</v>
      </c>
      <c r="P1121" s="45">
        <v>2290</v>
      </c>
      <c r="Q1121" s="45">
        <v>2000</v>
      </c>
      <c r="R1121" s="45">
        <f t="shared" si="366"/>
        <v>2000</v>
      </c>
      <c r="S1121" s="45">
        <v>1.5</v>
      </c>
      <c r="T1121" s="45"/>
      <c r="U1121" s="45">
        <f t="shared" si="367"/>
        <v>1024</v>
      </c>
      <c r="V1121" s="47">
        <f t="shared" si="368"/>
        <v>1.953125</v>
      </c>
      <c r="W1121" s="47">
        <f t="shared" si="369"/>
        <v>712.890625</v>
      </c>
      <c r="X1121" s="47">
        <f t="shared" si="370"/>
        <v>0.89111328125</v>
      </c>
      <c r="Y1121" s="47"/>
      <c r="Z1121" s="47"/>
      <c r="AA1121" s="46">
        <f t="shared" si="371"/>
        <v>44927</v>
      </c>
      <c r="AB1121" s="46">
        <f t="shared" si="372"/>
        <v>45291</v>
      </c>
      <c r="AC1121" s="45">
        <v>10</v>
      </c>
      <c r="AD1121" s="45">
        <f t="shared" si="373"/>
        <v>0</v>
      </c>
      <c r="AE1121" s="45">
        <f t="shared" si="374"/>
        <v>0</v>
      </c>
      <c r="AF1121" s="45">
        <f t="shared" si="375"/>
        <v>0</v>
      </c>
      <c r="AG1121" s="45">
        <f t="shared" si="376"/>
        <v>0</v>
      </c>
      <c r="AH1121" s="45">
        <f t="shared" si="377"/>
        <v>182.5</v>
      </c>
      <c r="AI1121" s="48">
        <f t="shared" si="378"/>
        <v>0.5</v>
      </c>
      <c r="AJ1121" s="48">
        <f t="shared" si="379"/>
        <v>0.445556640625</v>
      </c>
      <c r="AK1121" s="48">
        <f t="shared" si="380"/>
        <v>2.227783203125</v>
      </c>
      <c r="AL1121" s="48">
        <f t="shared" si="381"/>
        <v>3.3416748046875</v>
      </c>
      <c r="AM1121" s="48">
        <f t="shared" si="382"/>
        <v>0</v>
      </c>
      <c r="AN1121" s="48">
        <f t="shared" si="383"/>
        <v>3.3416748046875</v>
      </c>
      <c r="AO1121" s="45" t="s">
        <v>102</v>
      </c>
      <c r="AP1121" s="45"/>
    </row>
    <row r="1122" spans="1:42" x14ac:dyDescent="0.25">
      <c r="A1122" s="45" t="s">
        <v>19</v>
      </c>
      <c r="B1122" s="45" t="s">
        <v>52</v>
      </c>
      <c r="C1122" s="45" t="s">
        <v>21</v>
      </c>
      <c r="D1122" s="45" t="s">
        <v>53</v>
      </c>
      <c r="E1122" s="45" t="s">
        <v>96</v>
      </c>
      <c r="F1122" s="45" t="s">
        <v>103</v>
      </c>
      <c r="G1122" s="45" t="s">
        <v>98</v>
      </c>
      <c r="H1122" s="45" t="s">
        <v>355</v>
      </c>
      <c r="I1122" s="45" t="s">
        <v>105</v>
      </c>
      <c r="J1122" s="45" t="s">
        <v>106</v>
      </c>
      <c r="K1122" s="45"/>
      <c r="L1122" s="45">
        <v>2483433</v>
      </c>
      <c r="M1122" s="45" t="s">
        <v>1271</v>
      </c>
      <c r="N1122" s="46">
        <f t="shared" si="384"/>
        <v>43164</v>
      </c>
      <c r="O1122" s="46">
        <f>DATE(2022,12,21)</f>
        <v>44916</v>
      </c>
      <c r="P1122" s="45">
        <v>4390</v>
      </c>
      <c r="Q1122" s="45">
        <v>3600</v>
      </c>
      <c r="R1122" s="45">
        <f t="shared" si="366"/>
        <v>3600</v>
      </c>
      <c r="S1122" s="45">
        <v>2.5</v>
      </c>
      <c r="T1122" s="45"/>
      <c r="U1122" s="45">
        <f t="shared" si="367"/>
        <v>1753</v>
      </c>
      <c r="V1122" s="47">
        <f t="shared" si="368"/>
        <v>2.0536223616657159</v>
      </c>
      <c r="W1122" s="47">
        <f t="shared" si="369"/>
        <v>749.57216200798632</v>
      </c>
      <c r="X1122" s="47">
        <f t="shared" si="370"/>
        <v>0.93696520250998294</v>
      </c>
      <c r="Y1122" s="47"/>
      <c r="Z1122" s="47"/>
      <c r="AA1122" s="46">
        <f t="shared" si="371"/>
        <v>44927</v>
      </c>
      <c r="AB1122" s="46">
        <f t="shared" si="372"/>
        <v>45291</v>
      </c>
      <c r="AC1122" s="45">
        <v>17</v>
      </c>
      <c r="AD1122" s="45">
        <f t="shared" si="373"/>
        <v>0</v>
      </c>
      <c r="AE1122" s="45">
        <f t="shared" si="374"/>
        <v>0</v>
      </c>
      <c r="AF1122" s="45">
        <f t="shared" si="375"/>
        <v>0</v>
      </c>
      <c r="AG1122" s="45">
        <f t="shared" si="376"/>
        <v>0</v>
      </c>
      <c r="AH1122" s="45">
        <f t="shared" si="377"/>
        <v>182.5</v>
      </c>
      <c r="AI1122" s="48">
        <f t="shared" si="378"/>
        <v>0.5</v>
      </c>
      <c r="AJ1122" s="48">
        <f t="shared" si="379"/>
        <v>0.46848260125499147</v>
      </c>
      <c r="AK1122" s="48">
        <f t="shared" si="380"/>
        <v>3.9821021106674275</v>
      </c>
      <c r="AL1122" s="48">
        <f t="shared" si="381"/>
        <v>9.9552552766685682</v>
      </c>
      <c r="AM1122" s="48">
        <f t="shared" si="382"/>
        <v>4.9776276383342841</v>
      </c>
      <c r="AN1122" s="48">
        <f t="shared" si="383"/>
        <v>14.932882915002853</v>
      </c>
      <c r="AO1122" s="45" t="s">
        <v>102</v>
      </c>
      <c r="AP1122" s="45"/>
    </row>
    <row r="1123" spans="1:42" x14ac:dyDescent="0.25">
      <c r="A1123" s="45" t="s">
        <v>19</v>
      </c>
      <c r="B1123" s="45" t="s">
        <v>52</v>
      </c>
      <c r="C1123" s="45" t="s">
        <v>21</v>
      </c>
      <c r="D1123" s="45" t="s">
        <v>53</v>
      </c>
      <c r="E1123" s="45" t="s">
        <v>96</v>
      </c>
      <c r="F1123" s="45" t="s">
        <v>103</v>
      </c>
      <c r="G1123" s="45" t="s">
        <v>98</v>
      </c>
      <c r="H1123" s="45" t="s">
        <v>355</v>
      </c>
      <c r="I1123" s="45" t="s">
        <v>105</v>
      </c>
      <c r="J1123" s="45" t="s">
        <v>106</v>
      </c>
      <c r="K1123" s="45"/>
      <c r="L1123" s="45">
        <v>2483435</v>
      </c>
      <c r="M1123" s="45" t="s">
        <v>1271</v>
      </c>
      <c r="N1123" s="46">
        <f t="shared" si="384"/>
        <v>43164</v>
      </c>
      <c r="O1123" s="46">
        <f>DATE(2022,12,21)</f>
        <v>44916</v>
      </c>
      <c r="P1123" s="45">
        <v>4450</v>
      </c>
      <c r="Q1123" s="45">
        <v>3600</v>
      </c>
      <c r="R1123" s="45">
        <f t="shared" si="366"/>
        <v>3600</v>
      </c>
      <c r="S1123" s="45">
        <v>2.5</v>
      </c>
      <c r="T1123" s="45"/>
      <c r="U1123" s="45">
        <f t="shared" si="367"/>
        <v>1753</v>
      </c>
      <c r="V1123" s="47">
        <f t="shared" si="368"/>
        <v>2.0536223616657159</v>
      </c>
      <c r="W1123" s="47">
        <f t="shared" si="369"/>
        <v>749.57216200798632</v>
      </c>
      <c r="X1123" s="47">
        <f t="shared" si="370"/>
        <v>0.93696520250998294</v>
      </c>
      <c r="Y1123" s="47"/>
      <c r="Z1123" s="47"/>
      <c r="AA1123" s="46">
        <f t="shared" si="371"/>
        <v>44927</v>
      </c>
      <c r="AB1123" s="46">
        <f t="shared" si="372"/>
        <v>45291</v>
      </c>
      <c r="AC1123" s="45">
        <v>5</v>
      </c>
      <c r="AD1123" s="45">
        <f t="shared" si="373"/>
        <v>0</v>
      </c>
      <c r="AE1123" s="45">
        <f t="shared" si="374"/>
        <v>0</v>
      </c>
      <c r="AF1123" s="45">
        <f t="shared" si="375"/>
        <v>0</v>
      </c>
      <c r="AG1123" s="45">
        <f t="shared" si="376"/>
        <v>0</v>
      </c>
      <c r="AH1123" s="45">
        <f t="shared" si="377"/>
        <v>182.5</v>
      </c>
      <c r="AI1123" s="48">
        <f t="shared" si="378"/>
        <v>0.5</v>
      </c>
      <c r="AJ1123" s="48">
        <f t="shared" si="379"/>
        <v>0.46848260125499147</v>
      </c>
      <c r="AK1123" s="48">
        <f t="shared" si="380"/>
        <v>1.1712065031374788</v>
      </c>
      <c r="AL1123" s="48">
        <f t="shared" si="381"/>
        <v>2.928016257843697</v>
      </c>
      <c r="AM1123" s="48">
        <f t="shared" si="382"/>
        <v>1.4640081289218485</v>
      </c>
      <c r="AN1123" s="48">
        <f t="shared" si="383"/>
        <v>4.3920243867655451</v>
      </c>
      <c r="AO1123" s="45" t="s">
        <v>102</v>
      </c>
      <c r="AP1123" s="45"/>
    </row>
    <row r="1124" spans="1:42" x14ac:dyDescent="0.25">
      <c r="A1124" s="1" t="s">
        <v>19</v>
      </c>
      <c r="B1124" s="1" t="s">
        <v>52</v>
      </c>
      <c r="C1124" s="1" t="s">
        <v>21</v>
      </c>
      <c r="D1124" s="1" t="s">
        <v>53</v>
      </c>
      <c r="E1124" s="1" t="s">
        <v>96</v>
      </c>
      <c r="F1124" s="1" t="s">
        <v>103</v>
      </c>
      <c r="G1124" s="1" t="s">
        <v>320</v>
      </c>
      <c r="H1124" s="1" t="s">
        <v>491</v>
      </c>
      <c r="I1124" s="1" t="s">
        <v>174</v>
      </c>
      <c r="J1124" s="1" t="s">
        <v>101</v>
      </c>
      <c r="L1124" s="1">
        <v>2570279</v>
      </c>
      <c r="M1124" s="1" t="s">
        <v>1272</v>
      </c>
      <c r="N1124" s="8">
        <f t="shared" ref="N1124:N1129" si="385">DATE(2019,2,11)</f>
        <v>43507</v>
      </c>
      <c r="O1124" s="8">
        <f>DATE(2022,12,31)</f>
        <v>44926</v>
      </c>
      <c r="P1124" s="1">
        <v>3226</v>
      </c>
      <c r="Q1124" s="1">
        <v>3200</v>
      </c>
      <c r="R1124" s="1">
        <f t="shared" si="366"/>
        <v>3200</v>
      </c>
      <c r="S1124" s="1">
        <v>2.5</v>
      </c>
      <c r="U1124" s="1">
        <f t="shared" si="367"/>
        <v>1420</v>
      </c>
      <c r="V1124" s="7">
        <f t="shared" si="368"/>
        <v>2.2535211267605635</v>
      </c>
      <c r="W1124" s="7">
        <f t="shared" si="369"/>
        <v>822.53521126760563</v>
      </c>
      <c r="X1124" s="7">
        <f t="shared" si="370"/>
        <v>1.028169014084507</v>
      </c>
      <c r="AA1124" s="8">
        <f t="shared" si="371"/>
        <v>44927</v>
      </c>
      <c r="AB1124" s="8">
        <f t="shared" si="372"/>
        <v>45291</v>
      </c>
      <c r="AC1124" s="1">
        <v>19</v>
      </c>
      <c r="AD1124" s="1">
        <f t="shared" si="373"/>
        <v>0</v>
      </c>
      <c r="AE1124" s="1">
        <f t="shared" si="374"/>
        <v>0</v>
      </c>
      <c r="AF1124" s="1">
        <f t="shared" si="375"/>
        <v>0</v>
      </c>
      <c r="AG1124" s="1">
        <f t="shared" si="376"/>
        <v>0</v>
      </c>
      <c r="AH1124" s="1">
        <f t="shared" si="377"/>
        <v>182.5</v>
      </c>
      <c r="AI1124" s="5">
        <f t="shared" si="378"/>
        <v>0.5</v>
      </c>
      <c r="AJ1124" s="5">
        <f t="shared" si="379"/>
        <v>0.5140845070422535</v>
      </c>
      <c r="AK1124" s="5">
        <f t="shared" si="380"/>
        <v>4.8838028169014081</v>
      </c>
      <c r="AL1124" s="5">
        <f t="shared" si="381"/>
        <v>12.20950704225352</v>
      </c>
      <c r="AM1124" s="5">
        <f t="shared" si="382"/>
        <v>0</v>
      </c>
      <c r="AN1124" s="5">
        <f t="shared" si="383"/>
        <v>12.20950704225352</v>
      </c>
      <c r="AO1124" s="1" t="s">
        <v>102</v>
      </c>
    </row>
    <row r="1125" spans="1:42" x14ac:dyDescent="0.25">
      <c r="A1125" s="45" t="s">
        <v>19</v>
      </c>
      <c r="B1125" s="45" t="s">
        <v>52</v>
      </c>
      <c r="C1125" s="45" t="s">
        <v>21</v>
      </c>
      <c r="D1125" s="45" t="s">
        <v>53</v>
      </c>
      <c r="E1125" s="45" t="s">
        <v>96</v>
      </c>
      <c r="F1125" s="45" t="s">
        <v>103</v>
      </c>
      <c r="G1125" s="45" t="s">
        <v>98</v>
      </c>
      <c r="H1125" s="45" t="s">
        <v>355</v>
      </c>
      <c r="I1125" s="45" t="s">
        <v>105</v>
      </c>
      <c r="J1125" s="45" t="s">
        <v>106</v>
      </c>
      <c r="K1125" s="45"/>
      <c r="L1125" s="45">
        <v>2578274</v>
      </c>
      <c r="M1125" s="45" t="s">
        <v>1273</v>
      </c>
      <c r="N1125" s="46">
        <f t="shared" si="385"/>
        <v>43507</v>
      </c>
      <c r="O1125" s="46">
        <f>DATE(2023,12,20)</f>
        <v>45280</v>
      </c>
      <c r="P1125" s="45">
        <v>3788</v>
      </c>
      <c r="Q1125" s="45">
        <v>3600</v>
      </c>
      <c r="R1125" s="45">
        <f t="shared" si="366"/>
        <v>3600</v>
      </c>
      <c r="S1125" s="45">
        <v>2.5</v>
      </c>
      <c r="T1125" s="45"/>
      <c r="U1125" s="45">
        <f t="shared" si="367"/>
        <v>1774</v>
      </c>
      <c r="V1125" s="47">
        <f t="shared" si="368"/>
        <v>2.0293122886133035</v>
      </c>
      <c r="W1125" s="47">
        <f t="shared" si="369"/>
        <v>740.69898534385572</v>
      </c>
      <c r="X1125" s="47">
        <f t="shared" si="370"/>
        <v>0.92587373167981968</v>
      </c>
      <c r="Y1125" s="47"/>
      <c r="Z1125" s="47"/>
      <c r="AA1125" s="46">
        <f t="shared" si="371"/>
        <v>44927</v>
      </c>
      <c r="AB1125" s="46">
        <f t="shared" si="372"/>
        <v>45291</v>
      </c>
      <c r="AC1125" s="45">
        <v>32</v>
      </c>
      <c r="AD1125" s="45">
        <f t="shared" si="373"/>
        <v>0</v>
      </c>
      <c r="AE1125" s="45">
        <f t="shared" si="374"/>
        <v>0</v>
      </c>
      <c r="AF1125" s="45">
        <f t="shared" si="375"/>
        <v>354</v>
      </c>
      <c r="AG1125" s="45">
        <f t="shared" si="376"/>
        <v>0</v>
      </c>
      <c r="AH1125" s="45">
        <f t="shared" si="377"/>
        <v>0</v>
      </c>
      <c r="AI1125" s="48">
        <f t="shared" si="378"/>
        <v>0.96986301369863015</v>
      </c>
      <c r="AJ1125" s="48">
        <f t="shared" si="379"/>
        <v>0.89797068771138677</v>
      </c>
      <c r="AK1125" s="48">
        <f t="shared" si="380"/>
        <v>28.735062006764377</v>
      </c>
      <c r="AL1125" s="48">
        <f t="shared" si="381"/>
        <v>71.837655016910944</v>
      </c>
      <c r="AM1125" s="48">
        <f t="shared" si="382"/>
        <v>35.918827508455472</v>
      </c>
      <c r="AN1125" s="48">
        <f t="shared" si="383"/>
        <v>107.75648252536641</v>
      </c>
      <c r="AO1125" s="45" t="s">
        <v>102</v>
      </c>
      <c r="AP1125" s="45"/>
    </row>
    <row r="1126" spans="1:42" x14ac:dyDescent="0.25">
      <c r="A1126" s="45" t="s">
        <v>19</v>
      </c>
      <c r="B1126" s="45" t="s">
        <v>52</v>
      </c>
      <c r="C1126" s="45" t="s">
        <v>21</v>
      </c>
      <c r="D1126" s="45" t="s">
        <v>53</v>
      </c>
      <c r="E1126" s="45" t="s">
        <v>96</v>
      </c>
      <c r="F1126" s="45" t="s">
        <v>103</v>
      </c>
      <c r="G1126" s="45" t="s">
        <v>98</v>
      </c>
      <c r="H1126" s="45" t="s">
        <v>355</v>
      </c>
      <c r="I1126" s="45" t="s">
        <v>105</v>
      </c>
      <c r="J1126" s="45" t="s">
        <v>106</v>
      </c>
      <c r="K1126" s="45"/>
      <c r="L1126" s="45">
        <v>2578349</v>
      </c>
      <c r="M1126" s="45" t="s">
        <v>1273</v>
      </c>
      <c r="N1126" s="46">
        <f t="shared" si="385"/>
        <v>43507</v>
      </c>
      <c r="O1126" s="46">
        <f>DATE(2023,12,20)</f>
        <v>45280</v>
      </c>
      <c r="P1126" s="45">
        <v>4450</v>
      </c>
      <c r="Q1126" s="45">
        <v>3600</v>
      </c>
      <c r="R1126" s="45">
        <f t="shared" si="366"/>
        <v>3600</v>
      </c>
      <c r="S1126" s="45">
        <v>2.5</v>
      </c>
      <c r="T1126" s="45"/>
      <c r="U1126" s="45">
        <f t="shared" si="367"/>
        <v>1774</v>
      </c>
      <c r="V1126" s="47">
        <f t="shared" si="368"/>
        <v>2.0293122886133035</v>
      </c>
      <c r="W1126" s="47">
        <f t="shared" si="369"/>
        <v>740.69898534385572</v>
      </c>
      <c r="X1126" s="47">
        <f t="shared" si="370"/>
        <v>0.92587373167981968</v>
      </c>
      <c r="Y1126" s="47"/>
      <c r="Z1126" s="47"/>
      <c r="AA1126" s="46">
        <f t="shared" si="371"/>
        <v>44927</v>
      </c>
      <c r="AB1126" s="46">
        <f t="shared" si="372"/>
        <v>45291</v>
      </c>
      <c r="AC1126" s="45">
        <v>22</v>
      </c>
      <c r="AD1126" s="45">
        <f t="shared" si="373"/>
        <v>0</v>
      </c>
      <c r="AE1126" s="45">
        <f t="shared" si="374"/>
        <v>0</v>
      </c>
      <c r="AF1126" s="45">
        <f t="shared" si="375"/>
        <v>354</v>
      </c>
      <c r="AG1126" s="45">
        <f t="shared" si="376"/>
        <v>0</v>
      </c>
      <c r="AH1126" s="45">
        <f t="shared" si="377"/>
        <v>0</v>
      </c>
      <c r="AI1126" s="48">
        <f t="shared" si="378"/>
        <v>0.96986301369863015</v>
      </c>
      <c r="AJ1126" s="48">
        <f t="shared" si="379"/>
        <v>0.89797068771138677</v>
      </c>
      <c r="AK1126" s="48">
        <f t="shared" si="380"/>
        <v>19.755355129650511</v>
      </c>
      <c r="AL1126" s="48">
        <f t="shared" si="381"/>
        <v>49.388387824126276</v>
      </c>
      <c r="AM1126" s="48">
        <f t="shared" si="382"/>
        <v>24.694193912063138</v>
      </c>
      <c r="AN1126" s="48">
        <f t="shared" si="383"/>
        <v>74.082581736189411</v>
      </c>
      <c r="AO1126" s="45" t="s">
        <v>102</v>
      </c>
      <c r="AP1126" s="45"/>
    </row>
    <row r="1127" spans="1:42" x14ac:dyDescent="0.25">
      <c r="A1127" s="45" t="s">
        <v>19</v>
      </c>
      <c r="B1127" s="45" t="s">
        <v>52</v>
      </c>
      <c r="C1127" s="45" t="s">
        <v>21</v>
      </c>
      <c r="D1127" s="45" t="s">
        <v>53</v>
      </c>
      <c r="E1127" s="45" t="s">
        <v>96</v>
      </c>
      <c r="F1127" s="45" t="s">
        <v>103</v>
      </c>
      <c r="G1127" s="45" t="s">
        <v>127</v>
      </c>
      <c r="H1127" s="45" t="s">
        <v>1143</v>
      </c>
      <c r="I1127" s="45" t="s">
        <v>162</v>
      </c>
      <c r="J1127" s="45" t="s">
        <v>101</v>
      </c>
      <c r="K1127" s="45"/>
      <c r="L1127" s="45">
        <v>2578352</v>
      </c>
      <c r="M1127" s="45" t="s">
        <v>1274</v>
      </c>
      <c r="N1127" s="46">
        <f t="shared" si="385"/>
        <v>43507</v>
      </c>
      <c r="O1127" s="46">
        <f>DATE(2021,12,20)</f>
        <v>44550</v>
      </c>
      <c r="P1127" s="45">
        <v>2290</v>
      </c>
      <c r="Q1127" s="45">
        <v>2000</v>
      </c>
      <c r="R1127" s="45">
        <f t="shared" si="366"/>
        <v>2000</v>
      </c>
      <c r="S1127" s="45">
        <v>1.5</v>
      </c>
      <c r="T1127" s="45"/>
      <c r="U1127" s="45">
        <f t="shared" si="367"/>
        <v>1044</v>
      </c>
      <c r="V1127" s="47">
        <f t="shared" si="368"/>
        <v>1.9157088122605364</v>
      </c>
      <c r="W1127" s="47">
        <f t="shared" si="369"/>
        <v>699.23371647509578</v>
      </c>
      <c r="X1127" s="47">
        <f t="shared" si="370"/>
        <v>0.87404214559386972</v>
      </c>
      <c r="Y1127" s="47"/>
      <c r="Z1127" s="47"/>
      <c r="AA1127" s="46">
        <f t="shared" si="371"/>
        <v>44927</v>
      </c>
      <c r="AB1127" s="46">
        <f t="shared" si="372"/>
        <v>45291</v>
      </c>
      <c r="AC1127" s="45">
        <v>13</v>
      </c>
      <c r="AD1127" s="45">
        <f t="shared" si="373"/>
        <v>0</v>
      </c>
      <c r="AE1127" s="45">
        <f t="shared" si="374"/>
        <v>0</v>
      </c>
      <c r="AF1127" s="45">
        <f t="shared" si="375"/>
        <v>0</v>
      </c>
      <c r="AG1127" s="45">
        <f t="shared" si="376"/>
        <v>0</v>
      </c>
      <c r="AH1127" s="45">
        <f t="shared" si="377"/>
        <v>182.5</v>
      </c>
      <c r="AI1127" s="48">
        <f t="shared" si="378"/>
        <v>0.5</v>
      </c>
      <c r="AJ1127" s="48">
        <f t="shared" si="379"/>
        <v>0.43702107279693486</v>
      </c>
      <c r="AK1127" s="48">
        <f t="shared" si="380"/>
        <v>2.8406369731800765</v>
      </c>
      <c r="AL1127" s="48">
        <f t="shared" si="381"/>
        <v>4.2609554597701145</v>
      </c>
      <c r="AM1127" s="48">
        <f t="shared" si="382"/>
        <v>0</v>
      </c>
      <c r="AN1127" s="48">
        <f t="shared" si="383"/>
        <v>4.2609554597701145</v>
      </c>
      <c r="AO1127" s="45" t="s">
        <v>102</v>
      </c>
      <c r="AP1127" s="45"/>
    </row>
    <row r="1128" spans="1:42" x14ac:dyDescent="0.25">
      <c r="A1128" s="1" t="s">
        <v>19</v>
      </c>
      <c r="B1128" s="1" t="s">
        <v>52</v>
      </c>
      <c r="C1128" s="1" t="s">
        <v>21</v>
      </c>
      <c r="D1128" s="1" t="s">
        <v>53</v>
      </c>
      <c r="E1128" s="1" t="s">
        <v>96</v>
      </c>
      <c r="F1128" s="1" t="s">
        <v>103</v>
      </c>
      <c r="G1128" s="1" t="s">
        <v>114</v>
      </c>
      <c r="H1128" s="1" t="s">
        <v>119</v>
      </c>
      <c r="I1128" s="1" t="s">
        <v>105</v>
      </c>
      <c r="J1128" s="1" t="s">
        <v>106</v>
      </c>
      <c r="K1128" s="1" t="s">
        <v>116</v>
      </c>
      <c r="L1128" s="1">
        <v>2599263</v>
      </c>
      <c r="M1128" s="1" t="s">
        <v>1275</v>
      </c>
      <c r="N1128" s="8">
        <f t="shared" si="385"/>
        <v>43507</v>
      </c>
      <c r="O1128" s="8">
        <f>DATE(2021,12,17)</f>
        <v>44547</v>
      </c>
      <c r="P1128" s="1">
        <v>3882</v>
      </c>
      <c r="Q1128" s="1">
        <v>1200</v>
      </c>
      <c r="R1128" s="1">
        <f t="shared" si="366"/>
        <v>3200</v>
      </c>
      <c r="S1128" s="1">
        <v>2.5</v>
      </c>
      <c r="U1128" s="1">
        <f t="shared" si="367"/>
        <v>1041</v>
      </c>
      <c r="V1128" s="7">
        <f t="shared" si="368"/>
        <v>3.0739673390970221</v>
      </c>
      <c r="W1128" s="7">
        <f t="shared" si="369"/>
        <v>1121.998078770413</v>
      </c>
      <c r="X1128" s="7">
        <f t="shared" si="370"/>
        <v>1.4024975984630164</v>
      </c>
      <c r="AA1128" s="8">
        <f t="shared" si="371"/>
        <v>44927</v>
      </c>
      <c r="AB1128" s="8">
        <f t="shared" si="372"/>
        <v>45291</v>
      </c>
      <c r="AC1128" s="1">
        <v>16</v>
      </c>
      <c r="AD1128" s="1">
        <f t="shared" si="373"/>
        <v>0</v>
      </c>
      <c r="AE1128" s="1">
        <f t="shared" si="374"/>
        <v>0</v>
      </c>
      <c r="AF1128" s="1">
        <f t="shared" si="375"/>
        <v>0</v>
      </c>
      <c r="AG1128" s="1">
        <f t="shared" si="376"/>
        <v>0</v>
      </c>
      <c r="AH1128" s="1">
        <f t="shared" si="377"/>
        <v>182.5</v>
      </c>
      <c r="AI1128" s="5">
        <f t="shared" si="378"/>
        <v>0.5</v>
      </c>
      <c r="AJ1128" s="5">
        <f t="shared" si="379"/>
        <v>0.70124879923150818</v>
      </c>
      <c r="AK1128" s="5">
        <f t="shared" si="380"/>
        <v>5.6099903938520654</v>
      </c>
      <c r="AL1128" s="5">
        <f t="shared" si="381"/>
        <v>14.024975984630164</v>
      </c>
      <c r="AM1128" s="5">
        <f t="shared" si="382"/>
        <v>7.0124879923150818</v>
      </c>
      <c r="AN1128" s="5">
        <f t="shared" si="383"/>
        <v>21.037463976945247</v>
      </c>
      <c r="AO1128" s="1" t="s">
        <v>102</v>
      </c>
    </row>
    <row r="1129" spans="1:42" x14ac:dyDescent="0.25">
      <c r="A1129" s="1" t="s">
        <v>19</v>
      </c>
      <c r="B1129" s="1" t="s">
        <v>52</v>
      </c>
      <c r="C1129" s="1" t="s">
        <v>21</v>
      </c>
      <c r="D1129" s="1" t="s">
        <v>53</v>
      </c>
      <c r="E1129" s="1" t="s">
        <v>96</v>
      </c>
      <c r="F1129" s="1" t="s">
        <v>103</v>
      </c>
      <c r="G1129" s="1" t="s">
        <v>98</v>
      </c>
      <c r="H1129" s="1" t="s">
        <v>104</v>
      </c>
      <c r="I1129" s="1" t="s">
        <v>105</v>
      </c>
      <c r="J1129" s="1" t="s">
        <v>106</v>
      </c>
      <c r="L1129" s="1">
        <v>2599681</v>
      </c>
      <c r="M1129" s="1" t="s">
        <v>1276</v>
      </c>
      <c r="N1129" s="8">
        <f t="shared" si="385"/>
        <v>43507</v>
      </c>
      <c r="O1129" s="8">
        <f>DATE(2023,12,22)</f>
        <v>45282</v>
      </c>
      <c r="P1129" s="1">
        <v>4640</v>
      </c>
      <c r="Q1129" s="1">
        <v>3600</v>
      </c>
      <c r="R1129" s="1">
        <f t="shared" si="366"/>
        <v>3600</v>
      </c>
      <c r="S1129" s="1">
        <v>2.5</v>
      </c>
      <c r="U1129" s="1">
        <f t="shared" si="367"/>
        <v>1776</v>
      </c>
      <c r="V1129" s="7">
        <f t="shared" si="368"/>
        <v>2.0270270270270272</v>
      </c>
      <c r="W1129" s="7">
        <f t="shared" si="369"/>
        <v>739.8648648648649</v>
      </c>
      <c r="X1129" s="7">
        <f t="shared" si="370"/>
        <v>0.92483108108108114</v>
      </c>
      <c r="AA1129" s="8">
        <f t="shared" si="371"/>
        <v>44927</v>
      </c>
      <c r="AB1129" s="8">
        <f t="shared" si="372"/>
        <v>45291</v>
      </c>
      <c r="AC1129" s="1">
        <v>26</v>
      </c>
      <c r="AD1129" s="1">
        <f t="shared" si="373"/>
        <v>0</v>
      </c>
      <c r="AE1129" s="1">
        <f t="shared" si="374"/>
        <v>0</v>
      </c>
      <c r="AF1129" s="1">
        <f t="shared" si="375"/>
        <v>356</v>
      </c>
      <c r="AG1129" s="1">
        <f t="shared" si="376"/>
        <v>0</v>
      </c>
      <c r="AH1129" s="1">
        <f t="shared" si="377"/>
        <v>0</v>
      </c>
      <c r="AI1129" s="5">
        <f t="shared" si="378"/>
        <v>0.97534246575342465</v>
      </c>
      <c r="AJ1129" s="5">
        <f t="shared" si="379"/>
        <v>0.90202702702702708</v>
      </c>
      <c r="AK1129" s="5">
        <f t="shared" si="380"/>
        <v>23.452702702702705</v>
      </c>
      <c r="AL1129" s="5">
        <f t="shared" si="381"/>
        <v>58.631756756756765</v>
      </c>
      <c r="AM1129" s="5">
        <f t="shared" si="382"/>
        <v>29.315878378378383</v>
      </c>
      <c r="AN1129" s="5">
        <f t="shared" si="383"/>
        <v>87.947635135135144</v>
      </c>
      <c r="AO1129" s="1" t="s">
        <v>102</v>
      </c>
    </row>
    <row r="1130" spans="1:42" x14ac:dyDescent="0.25">
      <c r="A1130" s="45" t="s">
        <v>19</v>
      </c>
      <c r="B1130" s="45" t="s">
        <v>52</v>
      </c>
      <c r="C1130" s="45" t="s">
        <v>21</v>
      </c>
      <c r="D1130" s="45" t="s">
        <v>53</v>
      </c>
      <c r="E1130" s="45" t="s">
        <v>96</v>
      </c>
      <c r="F1130" s="45" t="s">
        <v>103</v>
      </c>
      <c r="G1130" s="45" t="s">
        <v>127</v>
      </c>
      <c r="H1130" s="45" t="s">
        <v>1143</v>
      </c>
      <c r="I1130" s="45" t="s">
        <v>162</v>
      </c>
      <c r="J1130" s="45" t="s">
        <v>101</v>
      </c>
      <c r="K1130" s="45"/>
      <c r="L1130" s="45">
        <v>2672582</v>
      </c>
      <c r="M1130" s="45" t="s">
        <v>1277</v>
      </c>
      <c r="N1130" s="46">
        <f t="shared" ref="N1130:N1136" si="386">DATE(2020,2,3)</f>
        <v>43864</v>
      </c>
      <c r="O1130" s="46">
        <f>DATE(2022,12,16)</f>
        <v>44911</v>
      </c>
      <c r="P1130" s="45">
        <v>2290</v>
      </c>
      <c r="Q1130" s="45">
        <v>2000</v>
      </c>
      <c r="R1130" s="45">
        <f t="shared" si="366"/>
        <v>2000</v>
      </c>
      <c r="S1130" s="45">
        <v>1.5</v>
      </c>
      <c r="T1130" s="45"/>
      <c r="U1130" s="45">
        <f t="shared" si="367"/>
        <v>1048</v>
      </c>
      <c r="V1130" s="47">
        <f t="shared" si="368"/>
        <v>1.9083969465648856</v>
      </c>
      <c r="W1130" s="47">
        <f t="shared" si="369"/>
        <v>696.56488549618325</v>
      </c>
      <c r="X1130" s="47">
        <f t="shared" si="370"/>
        <v>0.87070610687022909</v>
      </c>
      <c r="Y1130" s="47"/>
      <c r="Z1130" s="47"/>
      <c r="AA1130" s="46">
        <f t="shared" si="371"/>
        <v>44927</v>
      </c>
      <c r="AB1130" s="46">
        <f t="shared" si="372"/>
        <v>45291</v>
      </c>
      <c r="AC1130" s="45">
        <v>16</v>
      </c>
      <c r="AD1130" s="45">
        <f t="shared" si="373"/>
        <v>0</v>
      </c>
      <c r="AE1130" s="45">
        <f t="shared" si="374"/>
        <v>0</v>
      </c>
      <c r="AF1130" s="45">
        <f t="shared" si="375"/>
        <v>0</v>
      </c>
      <c r="AG1130" s="45">
        <f t="shared" si="376"/>
        <v>0</v>
      </c>
      <c r="AH1130" s="45">
        <f t="shared" si="377"/>
        <v>182.5</v>
      </c>
      <c r="AI1130" s="48">
        <f t="shared" si="378"/>
        <v>0.5</v>
      </c>
      <c r="AJ1130" s="48">
        <f t="shared" si="379"/>
        <v>0.43535305343511455</v>
      </c>
      <c r="AK1130" s="48">
        <f t="shared" si="380"/>
        <v>3.4828244274809164</v>
      </c>
      <c r="AL1130" s="48">
        <f t="shared" si="381"/>
        <v>5.2242366412213741</v>
      </c>
      <c r="AM1130" s="48">
        <f t="shared" si="382"/>
        <v>0</v>
      </c>
      <c r="AN1130" s="48">
        <f t="shared" si="383"/>
        <v>5.2242366412213741</v>
      </c>
      <c r="AO1130" s="45" t="s">
        <v>102</v>
      </c>
      <c r="AP1130" s="45"/>
    </row>
    <row r="1131" spans="1:42" x14ac:dyDescent="0.25">
      <c r="A1131" s="45" t="s">
        <v>19</v>
      </c>
      <c r="B1131" s="45" t="s">
        <v>52</v>
      </c>
      <c r="C1131" s="45" t="s">
        <v>21</v>
      </c>
      <c r="D1131" s="45" t="s">
        <v>53</v>
      </c>
      <c r="E1131" s="45" t="s">
        <v>96</v>
      </c>
      <c r="F1131" s="45" t="s">
        <v>103</v>
      </c>
      <c r="G1131" s="45" t="s">
        <v>98</v>
      </c>
      <c r="H1131" s="45" t="s">
        <v>355</v>
      </c>
      <c r="I1131" s="45" t="s">
        <v>105</v>
      </c>
      <c r="J1131" s="45" t="s">
        <v>106</v>
      </c>
      <c r="K1131" s="45"/>
      <c r="L1131" s="45">
        <v>2672583</v>
      </c>
      <c r="M1131" s="45" t="s">
        <v>1278</v>
      </c>
      <c r="N1131" s="46">
        <f t="shared" si="386"/>
        <v>43864</v>
      </c>
      <c r="O1131" s="46">
        <f>DATE(2024,12,20)</f>
        <v>45646</v>
      </c>
      <c r="P1131" s="45">
        <v>3788</v>
      </c>
      <c r="Q1131" s="45">
        <v>3600</v>
      </c>
      <c r="R1131" s="45">
        <f t="shared" si="366"/>
        <v>3600</v>
      </c>
      <c r="S1131" s="45">
        <v>2.5</v>
      </c>
      <c r="T1131" s="45"/>
      <c r="U1131" s="45">
        <f t="shared" si="367"/>
        <v>1783</v>
      </c>
      <c r="V1131" s="47">
        <f t="shared" si="368"/>
        <v>2.0190689848569825</v>
      </c>
      <c r="W1131" s="47">
        <f t="shared" si="369"/>
        <v>736.96017947279859</v>
      </c>
      <c r="X1131" s="47">
        <f t="shared" si="370"/>
        <v>0.92120022434099824</v>
      </c>
      <c r="Y1131" s="47"/>
      <c r="Z1131" s="47"/>
      <c r="AA1131" s="46">
        <f t="shared" si="371"/>
        <v>44927</v>
      </c>
      <c r="AB1131" s="46">
        <f t="shared" si="372"/>
        <v>45291</v>
      </c>
      <c r="AC1131" s="45">
        <v>24</v>
      </c>
      <c r="AD1131" s="45">
        <f t="shared" si="373"/>
        <v>365</v>
      </c>
      <c r="AE1131" s="45">
        <f t="shared" si="374"/>
        <v>0</v>
      </c>
      <c r="AF1131" s="45">
        <f t="shared" si="375"/>
        <v>0</v>
      </c>
      <c r="AG1131" s="45">
        <f t="shared" si="376"/>
        <v>0</v>
      </c>
      <c r="AH1131" s="45">
        <f t="shared" si="377"/>
        <v>0</v>
      </c>
      <c r="AI1131" s="48">
        <f t="shared" si="378"/>
        <v>1</v>
      </c>
      <c r="AJ1131" s="48">
        <f t="shared" si="379"/>
        <v>0.92120022434099824</v>
      </c>
      <c r="AK1131" s="48">
        <f t="shared" si="380"/>
        <v>22.10880538418396</v>
      </c>
      <c r="AL1131" s="48">
        <f t="shared" si="381"/>
        <v>55.272013460459902</v>
      </c>
      <c r="AM1131" s="48">
        <f t="shared" si="382"/>
        <v>27.636006730229951</v>
      </c>
      <c r="AN1131" s="48">
        <f t="shared" si="383"/>
        <v>82.908020190689854</v>
      </c>
      <c r="AO1131" s="45" t="s">
        <v>102</v>
      </c>
      <c r="AP1131" s="45"/>
    </row>
    <row r="1132" spans="1:42" x14ac:dyDescent="0.25">
      <c r="A1132" s="45" t="s">
        <v>19</v>
      </c>
      <c r="B1132" s="45" t="s">
        <v>52</v>
      </c>
      <c r="C1132" s="45" t="s">
        <v>21</v>
      </c>
      <c r="D1132" s="45" t="s">
        <v>53</v>
      </c>
      <c r="E1132" s="45" t="s">
        <v>96</v>
      </c>
      <c r="F1132" s="45" t="s">
        <v>103</v>
      </c>
      <c r="G1132" s="45" t="s">
        <v>98</v>
      </c>
      <c r="H1132" s="45" t="s">
        <v>355</v>
      </c>
      <c r="I1132" s="45" t="s">
        <v>105</v>
      </c>
      <c r="J1132" s="45" t="s">
        <v>106</v>
      </c>
      <c r="K1132" s="45"/>
      <c r="L1132" s="45">
        <v>2672584</v>
      </c>
      <c r="M1132" s="45" t="s">
        <v>1278</v>
      </c>
      <c r="N1132" s="46">
        <f t="shared" si="386"/>
        <v>43864</v>
      </c>
      <c r="O1132" s="46">
        <f>DATE(2024,12,20)</f>
        <v>45646</v>
      </c>
      <c r="P1132" s="45">
        <v>4450</v>
      </c>
      <c r="Q1132" s="45">
        <v>3600</v>
      </c>
      <c r="R1132" s="45">
        <f t="shared" si="366"/>
        <v>3600</v>
      </c>
      <c r="S1132" s="45">
        <v>2.5</v>
      </c>
      <c r="T1132" s="45"/>
      <c r="U1132" s="45">
        <f t="shared" si="367"/>
        <v>1783</v>
      </c>
      <c r="V1132" s="47">
        <f t="shared" si="368"/>
        <v>2.0190689848569825</v>
      </c>
      <c r="W1132" s="47">
        <f t="shared" si="369"/>
        <v>736.96017947279859</v>
      </c>
      <c r="X1132" s="47">
        <f t="shared" si="370"/>
        <v>0.92120022434099824</v>
      </c>
      <c r="Y1132" s="47"/>
      <c r="Z1132" s="47"/>
      <c r="AA1132" s="46">
        <f t="shared" si="371"/>
        <v>44927</v>
      </c>
      <c r="AB1132" s="46">
        <f t="shared" si="372"/>
        <v>45291</v>
      </c>
      <c r="AC1132" s="45">
        <v>25</v>
      </c>
      <c r="AD1132" s="45">
        <f t="shared" si="373"/>
        <v>365</v>
      </c>
      <c r="AE1132" s="45">
        <f t="shared" si="374"/>
        <v>0</v>
      </c>
      <c r="AF1132" s="45">
        <f t="shared" si="375"/>
        <v>0</v>
      </c>
      <c r="AG1132" s="45">
        <f t="shared" si="376"/>
        <v>0</v>
      </c>
      <c r="AH1132" s="45">
        <f t="shared" si="377"/>
        <v>0</v>
      </c>
      <c r="AI1132" s="48">
        <f t="shared" si="378"/>
        <v>1</v>
      </c>
      <c r="AJ1132" s="48">
        <f t="shared" si="379"/>
        <v>0.92120022434099824</v>
      </c>
      <c r="AK1132" s="48">
        <f t="shared" si="380"/>
        <v>23.030005608524956</v>
      </c>
      <c r="AL1132" s="48">
        <f t="shared" si="381"/>
        <v>57.575014021312391</v>
      </c>
      <c r="AM1132" s="48">
        <f t="shared" si="382"/>
        <v>28.787507010656196</v>
      </c>
      <c r="AN1132" s="48">
        <f t="shared" si="383"/>
        <v>86.362521031968583</v>
      </c>
      <c r="AO1132" s="45" t="s">
        <v>102</v>
      </c>
      <c r="AP1132" s="45"/>
    </row>
    <row r="1133" spans="1:42" x14ac:dyDescent="0.25">
      <c r="A1133" s="1" t="s">
        <v>19</v>
      </c>
      <c r="B1133" s="1" t="s">
        <v>52</v>
      </c>
      <c r="C1133" s="1" t="s">
        <v>21</v>
      </c>
      <c r="D1133" s="1" t="s">
        <v>53</v>
      </c>
      <c r="E1133" s="1" t="s">
        <v>96</v>
      </c>
      <c r="F1133" s="1" t="s">
        <v>103</v>
      </c>
      <c r="G1133" s="1" t="s">
        <v>114</v>
      </c>
      <c r="H1133" s="1" t="s">
        <v>894</v>
      </c>
      <c r="I1133" s="1" t="s">
        <v>157</v>
      </c>
      <c r="J1133" s="1" t="s">
        <v>101</v>
      </c>
      <c r="K1133" s="1" t="s">
        <v>116</v>
      </c>
      <c r="L1133" s="1">
        <v>2678234</v>
      </c>
      <c r="M1133" s="1" t="s">
        <v>1279</v>
      </c>
      <c r="N1133" s="8">
        <f t="shared" si="386"/>
        <v>43864</v>
      </c>
      <c r="O1133" s="8">
        <f>DATE(2022,12,31)</f>
        <v>44926</v>
      </c>
      <c r="P1133" s="1">
        <v>3672</v>
      </c>
      <c r="Q1133" s="1">
        <v>1200</v>
      </c>
      <c r="R1133" s="1">
        <f t="shared" si="366"/>
        <v>3200</v>
      </c>
      <c r="S1133" s="1">
        <v>1.5</v>
      </c>
      <c r="U1133" s="1">
        <f t="shared" si="367"/>
        <v>1063</v>
      </c>
      <c r="V1133" s="7">
        <f t="shared" si="368"/>
        <v>3.0103480714957667</v>
      </c>
      <c r="W1133" s="7">
        <f t="shared" si="369"/>
        <v>1098.7770460959548</v>
      </c>
      <c r="X1133" s="7">
        <f t="shared" si="370"/>
        <v>1.3734713076199434</v>
      </c>
      <c r="AA1133" s="8">
        <f t="shared" si="371"/>
        <v>44927</v>
      </c>
      <c r="AB1133" s="8">
        <f t="shared" si="372"/>
        <v>45291</v>
      </c>
      <c r="AC1133" s="1">
        <v>2</v>
      </c>
      <c r="AD1133" s="1">
        <f t="shared" si="373"/>
        <v>0</v>
      </c>
      <c r="AE1133" s="1">
        <f t="shared" si="374"/>
        <v>0</v>
      </c>
      <c r="AF1133" s="1">
        <f t="shared" si="375"/>
        <v>0</v>
      </c>
      <c r="AG1133" s="1">
        <f t="shared" si="376"/>
        <v>0</v>
      </c>
      <c r="AH1133" s="1">
        <f t="shared" si="377"/>
        <v>182.5</v>
      </c>
      <c r="AI1133" s="5">
        <f t="shared" si="378"/>
        <v>0.5</v>
      </c>
      <c r="AJ1133" s="5">
        <f t="shared" si="379"/>
        <v>0.6867356538099717</v>
      </c>
      <c r="AK1133" s="5">
        <f t="shared" si="380"/>
        <v>0.6867356538099717</v>
      </c>
      <c r="AL1133" s="5">
        <f t="shared" si="381"/>
        <v>1.0301034807149576</v>
      </c>
      <c r="AM1133" s="5">
        <f t="shared" si="382"/>
        <v>0</v>
      </c>
      <c r="AN1133" s="5">
        <f t="shared" si="383"/>
        <v>1.0301034807149576</v>
      </c>
      <c r="AO1133" s="1" t="s">
        <v>102</v>
      </c>
    </row>
    <row r="1134" spans="1:42" x14ac:dyDescent="0.25">
      <c r="A1134" s="1" t="s">
        <v>19</v>
      </c>
      <c r="B1134" s="1" t="s">
        <v>52</v>
      </c>
      <c r="C1134" s="1" t="s">
        <v>21</v>
      </c>
      <c r="D1134" s="1" t="s">
        <v>53</v>
      </c>
      <c r="E1134" s="1" t="s">
        <v>96</v>
      </c>
      <c r="F1134" s="1" t="s">
        <v>103</v>
      </c>
      <c r="G1134" s="1" t="s">
        <v>320</v>
      </c>
      <c r="H1134" s="1" t="s">
        <v>491</v>
      </c>
      <c r="I1134" s="1" t="s">
        <v>174</v>
      </c>
      <c r="J1134" s="1" t="s">
        <v>101</v>
      </c>
      <c r="L1134" s="1">
        <v>2678345</v>
      </c>
      <c r="M1134" s="1" t="s">
        <v>1026</v>
      </c>
      <c r="N1134" s="8">
        <f t="shared" si="386"/>
        <v>43864</v>
      </c>
      <c r="O1134" s="8">
        <f>DATE(2023,12,31)</f>
        <v>45291</v>
      </c>
      <c r="P1134" s="1">
        <v>3226</v>
      </c>
      <c r="Q1134" s="1">
        <v>3200</v>
      </c>
      <c r="R1134" s="1">
        <f t="shared" si="366"/>
        <v>3200</v>
      </c>
      <c r="S1134" s="1">
        <v>2.5</v>
      </c>
      <c r="U1134" s="1">
        <f t="shared" si="367"/>
        <v>1428</v>
      </c>
      <c r="V1134" s="7">
        <f t="shared" si="368"/>
        <v>2.2408963585434174</v>
      </c>
      <c r="W1134" s="7">
        <f t="shared" si="369"/>
        <v>817.92717086834739</v>
      </c>
      <c r="X1134" s="7">
        <f t="shared" si="370"/>
        <v>1.0224089635854343</v>
      </c>
      <c r="AA1134" s="8">
        <f t="shared" si="371"/>
        <v>44927</v>
      </c>
      <c r="AB1134" s="8">
        <f t="shared" si="372"/>
        <v>45291</v>
      </c>
      <c r="AC1134" s="1">
        <v>30</v>
      </c>
      <c r="AD1134" s="1">
        <f t="shared" si="373"/>
        <v>0</v>
      </c>
      <c r="AE1134" s="1">
        <f t="shared" si="374"/>
        <v>0</v>
      </c>
      <c r="AF1134" s="1">
        <f t="shared" si="375"/>
        <v>365</v>
      </c>
      <c r="AG1134" s="1">
        <f t="shared" si="376"/>
        <v>0</v>
      </c>
      <c r="AH1134" s="1">
        <f t="shared" si="377"/>
        <v>0</v>
      </c>
      <c r="AI1134" s="5">
        <f t="shared" si="378"/>
        <v>1</v>
      </c>
      <c r="AJ1134" s="5">
        <f t="shared" si="379"/>
        <v>1.0224089635854343</v>
      </c>
      <c r="AK1134" s="5">
        <f t="shared" si="380"/>
        <v>30.67226890756303</v>
      </c>
      <c r="AL1134" s="5">
        <f t="shared" si="381"/>
        <v>76.680672268907571</v>
      </c>
      <c r="AM1134" s="5">
        <f t="shared" si="382"/>
        <v>0</v>
      </c>
      <c r="AN1134" s="5">
        <f t="shared" si="383"/>
        <v>76.680672268907571</v>
      </c>
      <c r="AO1134" s="1" t="s">
        <v>102</v>
      </c>
    </row>
    <row r="1135" spans="1:42" x14ac:dyDescent="0.25">
      <c r="A1135" s="1" t="s">
        <v>19</v>
      </c>
      <c r="B1135" s="1" t="s">
        <v>52</v>
      </c>
      <c r="C1135" s="1" t="s">
        <v>21</v>
      </c>
      <c r="D1135" s="1" t="s">
        <v>53</v>
      </c>
      <c r="E1135" s="1" t="s">
        <v>96</v>
      </c>
      <c r="F1135" s="1" t="s">
        <v>103</v>
      </c>
      <c r="G1135" s="1" t="s">
        <v>98</v>
      </c>
      <c r="H1135" s="1" t="s">
        <v>104</v>
      </c>
      <c r="I1135" s="1" t="s">
        <v>105</v>
      </c>
      <c r="J1135" s="1" t="s">
        <v>106</v>
      </c>
      <c r="L1135" s="1">
        <v>2703812</v>
      </c>
      <c r="M1135" s="1" t="s">
        <v>1280</v>
      </c>
      <c r="N1135" s="8">
        <f t="shared" si="386"/>
        <v>43864</v>
      </c>
      <c r="O1135" s="8">
        <f>DATE(2024,12,20)</f>
        <v>45646</v>
      </c>
      <c r="P1135" s="1">
        <v>4640</v>
      </c>
      <c r="Q1135" s="1">
        <v>3600</v>
      </c>
      <c r="R1135" s="1">
        <f t="shared" si="366"/>
        <v>3600</v>
      </c>
      <c r="S1135" s="1">
        <v>2.5</v>
      </c>
      <c r="U1135" s="1">
        <f t="shared" si="367"/>
        <v>1783</v>
      </c>
      <c r="V1135" s="7">
        <f t="shared" si="368"/>
        <v>2.0190689848569825</v>
      </c>
      <c r="W1135" s="7">
        <f t="shared" si="369"/>
        <v>736.96017947279859</v>
      </c>
      <c r="X1135" s="7">
        <f t="shared" si="370"/>
        <v>0.92120022434099824</v>
      </c>
      <c r="AA1135" s="8">
        <f t="shared" si="371"/>
        <v>44927</v>
      </c>
      <c r="AB1135" s="8">
        <f t="shared" si="372"/>
        <v>45291</v>
      </c>
      <c r="AC1135" s="1">
        <v>26</v>
      </c>
      <c r="AD1135" s="1">
        <f t="shared" si="373"/>
        <v>365</v>
      </c>
      <c r="AE1135" s="1">
        <f t="shared" si="374"/>
        <v>0</v>
      </c>
      <c r="AF1135" s="1">
        <f t="shared" si="375"/>
        <v>0</v>
      </c>
      <c r="AG1135" s="1">
        <f t="shared" si="376"/>
        <v>0</v>
      </c>
      <c r="AH1135" s="1">
        <f t="shared" si="377"/>
        <v>0</v>
      </c>
      <c r="AI1135" s="5">
        <f t="shared" si="378"/>
        <v>1</v>
      </c>
      <c r="AJ1135" s="5">
        <f t="shared" si="379"/>
        <v>0.92120022434099824</v>
      </c>
      <c r="AK1135" s="5">
        <f t="shared" si="380"/>
        <v>23.951205832865956</v>
      </c>
      <c r="AL1135" s="5">
        <f t="shared" si="381"/>
        <v>59.878014582164887</v>
      </c>
      <c r="AM1135" s="5">
        <f t="shared" si="382"/>
        <v>29.939007291082444</v>
      </c>
      <c r="AN1135" s="5">
        <f t="shared" si="383"/>
        <v>89.817021873247327</v>
      </c>
      <c r="AO1135" s="1" t="s">
        <v>102</v>
      </c>
    </row>
    <row r="1136" spans="1:42" x14ac:dyDescent="0.25">
      <c r="A1136" s="1" t="s">
        <v>19</v>
      </c>
      <c r="B1136" s="1" t="s">
        <v>52</v>
      </c>
      <c r="C1136" s="1" t="s">
        <v>21</v>
      </c>
      <c r="D1136" s="1" t="s">
        <v>53</v>
      </c>
      <c r="E1136" s="1" t="s">
        <v>96</v>
      </c>
      <c r="F1136" s="1" t="s">
        <v>103</v>
      </c>
      <c r="G1136" s="1" t="s">
        <v>114</v>
      </c>
      <c r="H1136" s="1" t="s">
        <v>119</v>
      </c>
      <c r="I1136" s="1" t="s">
        <v>105</v>
      </c>
      <c r="J1136" s="1" t="s">
        <v>106</v>
      </c>
      <c r="K1136" s="1" t="s">
        <v>116</v>
      </c>
      <c r="L1136" s="1">
        <v>2703816</v>
      </c>
      <c r="M1136" s="1" t="s">
        <v>1281</v>
      </c>
      <c r="N1136" s="8">
        <f t="shared" si="386"/>
        <v>43864</v>
      </c>
      <c r="O1136" s="8">
        <f>DATE(2022,12,20)</f>
        <v>44915</v>
      </c>
      <c r="P1136" s="1">
        <v>3882</v>
      </c>
      <c r="Q1136" s="1">
        <v>1200</v>
      </c>
      <c r="R1136" s="1">
        <f t="shared" si="366"/>
        <v>3200</v>
      </c>
      <c r="S1136" s="1">
        <v>2.5</v>
      </c>
      <c r="U1136" s="1">
        <f t="shared" si="367"/>
        <v>1052</v>
      </c>
      <c r="V1136" s="7">
        <f t="shared" si="368"/>
        <v>3.041825095057034</v>
      </c>
      <c r="W1136" s="7">
        <f t="shared" si="369"/>
        <v>1110.2661596958174</v>
      </c>
      <c r="X1136" s="7">
        <f t="shared" si="370"/>
        <v>1.3878326996197716</v>
      </c>
      <c r="AA1136" s="8">
        <f t="shared" si="371"/>
        <v>44927</v>
      </c>
      <c r="AB1136" s="8">
        <f t="shared" si="372"/>
        <v>45291</v>
      </c>
      <c r="AC1136" s="1">
        <v>59</v>
      </c>
      <c r="AD1136" s="1">
        <f t="shared" si="373"/>
        <v>0</v>
      </c>
      <c r="AE1136" s="1">
        <f t="shared" si="374"/>
        <v>0</v>
      </c>
      <c r="AF1136" s="1">
        <f t="shared" si="375"/>
        <v>0</v>
      </c>
      <c r="AG1136" s="1">
        <f t="shared" si="376"/>
        <v>0</v>
      </c>
      <c r="AH1136" s="1">
        <f t="shared" si="377"/>
        <v>182.5</v>
      </c>
      <c r="AI1136" s="5">
        <f t="shared" si="378"/>
        <v>0.5</v>
      </c>
      <c r="AJ1136" s="5">
        <f t="shared" si="379"/>
        <v>0.69391634980988581</v>
      </c>
      <c r="AK1136" s="5">
        <f t="shared" si="380"/>
        <v>20.47053231939163</v>
      </c>
      <c r="AL1136" s="5">
        <f t="shared" si="381"/>
        <v>51.176330798479071</v>
      </c>
      <c r="AM1136" s="5">
        <f t="shared" si="382"/>
        <v>25.588165399239536</v>
      </c>
      <c r="AN1136" s="5">
        <f t="shared" si="383"/>
        <v>76.764496197718614</v>
      </c>
      <c r="AO1136" s="1" t="s">
        <v>102</v>
      </c>
    </row>
    <row r="1137" spans="1:42" x14ac:dyDescent="0.25">
      <c r="A1137" s="1" t="s">
        <v>19</v>
      </c>
      <c r="B1137" s="1" t="s">
        <v>52</v>
      </c>
      <c r="C1137" s="1" t="s">
        <v>21</v>
      </c>
      <c r="D1137" s="1" t="s">
        <v>53</v>
      </c>
      <c r="E1137" s="1" t="s">
        <v>96</v>
      </c>
      <c r="F1137" s="1" t="s">
        <v>103</v>
      </c>
      <c r="G1137" s="1" t="s">
        <v>114</v>
      </c>
      <c r="H1137" s="1" t="s">
        <v>894</v>
      </c>
      <c r="I1137" s="1" t="s">
        <v>157</v>
      </c>
      <c r="J1137" s="1" t="s">
        <v>101</v>
      </c>
      <c r="K1137" s="1" t="s">
        <v>116</v>
      </c>
      <c r="L1137" s="1">
        <v>2751198</v>
      </c>
      <c r="M1137" s="1" t="s">
        <v>1282</v>
      </c>
      <c r="N1137" s="8">
        <f t="shared" ref="N1137:N1144" si="387">DATE(2021,3,29)</f>
        <v>44284</v>
      </c>
      <c r="O1137" s="8">
        <f>DATE(2023,12,31)</f>
        <v>45291</v>
      </c>
      <c r="P1137" s="1">
        <v>3706</v>
      </c>
      <c r="Q1137" s="1">
        <v>1200</v>
      </c>
      <c r="R1137" s="1">
        <f t="shared" si="366"/>
        <v>3200</v>
      </c>
      <c r="S1137" s="1">
        <v>1.5</v>
      </c>
      <c r="U1137" s="1">
        <f t="shared" si="367"/>
        <v>1008</v>
      </c>
      <c r="V1137" s="7">
        <f t="shared" si="368"/>
        <v>3.1746031746031744</v>
      </c>
      <c r="W1137" s="7">
        <f t="shared" si="369"/>
        <v>1158.7301587301586</v>
      </c>
      <c r="X1137" s="7">
        <f t="shared" si="370"/>
        <v>1.4484126984126982</v>
      </c>
      <c r="AA1137" s="8">
        <f t="shared" si="371"/>
        <v>44927</v>
      </c>
      <c r="AB1137" s="8">
        <f t="shared" si="372"/>
        <v>45291</v>
      </c>
      <c r="AC1137" s="1">
        <v>32</v>
      </c>
      <c r="AD1137" s="1">
        <f t="shared" si="373"/>
        <v>0</v>
      </c>
      <c r="AE1137" s="1">
        <f t="shared" si="374"/>
        <v>0</v>
      </c>
      <c r="AF1137" s="1">
        <f t="shared" si="375"/>
        <v>365</v>
      </c>
      <c r="AG1137" s="1">
        <f t="shared" si="376"/>
        <v>0</v>
      </c>
      <c r="AH1137" s="1">
        <f t="shared" si="377"/>
        <v>0</v>
      </c>
      <c r="AI1137" s="5">
        <f t="shared" si="378"/>
        <v>1</v>
      </c>
      <c r="AJ1137" s="5">
        <f t="shared" si="379"/>
        <v>1.4484126984126982</v>
      </c>
      <c r="AK1137" s="5">
        <f t="shared" si="380"/>
        <v>46.349206349206341</v>
      </c>
      <c r="AL1137" s="5">
        <f t="shared" si="381"/>
        <v>69.523809523809518</v>
      </c>
      <c r="AM1137" s="5">
        <f t="shared" si="382"/>
        <v>0</v>
      </c>
      <c r="AN1137" s="5">
        <f t="shared" si="383"/>
        <v>69.523809523809518</v>
      </c>
      <c r="AO1137" s="1" t="s">
        <v>102</v>
      </c>
    </row>
    <row r="1138" spans="1:42" x14ac:dyDescent="0.25">
      <c r="A1138" s="1" t="s">
        <v>19</v>
      </c>
      <c r="B1138" s="1" t="s">
        <v>52</v>
      </c>
      <c r="C1138" s="1" t="s">
        <v>21</v>
      </c>
      <c r="D1138" s="1" t="s">
        <v>53</v>
      </c>
      <c r="E1138" s="1" t="s">
        <v>96</v>
      </c>
      <c r="F1138" s="1" t="s">
        <v>103</v>
      </c>
      <c r="G1138" s="1" t="s">
        <v>320</v>
      </c>
      <c r="H1138" s="1" t="s">
        <v>491</v>
      </c>
      <c r="I1138" s="1" t="s">
        <v>174</v>
      </c>
      <c r="J1138" s="1" t="s">
        <v>101</v>
      </c>
      <c r="L1138" s="1">
        <v>2751200</v>
      </c>
      <c r="M1138" s="1" t="s">
        <v>1283</v>
      </c>
      <c r="N1138" s="8">
        <f t="shared" si="387"/>
        <v>44284</v>
      </c>
      <c r="O1138" s="8">
        <f>DATE(2024,12,31)</f>
        <v>45657</v>
      </c>
      <c r="P1138" s="1">
        <v>3226</v>
      </c>
      <c r="Q1138" s="1">
        <v>3200</v>
      </c>
      <c r="R1138" s="1">
        <f t="shared" si="366"/>
        <v>3200</v>
      </c>
      <c r="S1138" s="1">
        <v>2.5</v>
      </c>
      <c r="U1138" s="1">
        <f t="shared" si="367"/>
        <v>1374</v>
      </c>
      <c r="V1138" s="7">
        <f t="shared" si="368"/>
        <v>2.3289665211062589</v>
      </c>
      <c r="W1138" s="7">
        <f t="shared" si="369"/>
        <v>850.07278020378453</v>
      </c>
      <c r="X1138" s="7">
        <f t="shared" si="370"/>
        <v>1.0625909752547307</v>
      </c>
      <c r="AA1138" s="8">
        <f t="shared" si="371"/>
        <v>44927</v>
      </c>
      <c r="AB1138" s="8">
        <f t="shared" si="372"/>
        <v>45291</v>
      </c>
      <c r="AC1138" s="1">
        <v>28</v>
      </c>
      <c r="AD1138" s="1">
        <f t="shared" si="373"/>
        <v>365</v>
      </c>
      <c r="AE1138" s="1">
        <f t="shared" si="374"/>
        <v>0</v>
      </c>
      <c r="AF1138" s="1">
        <f t="shared" si="375"/>
        <v>0</v>
      </c>
      <c r="AG1138" s="1">
        <f t="shared" si="376"/>
        <v>0</v>
      </c>
      <c r="AH1138" s="1">
        <f t="shared" si="377"/>
        <v>0</v>
      </c>
      <c r="AI1138" s="5">
        <f t="shared" si="378"/>
        <v>1</v>
      </c>
      <c r="AJ1138" s="5">
        <f t="shared" si="379"/>
        <v>1.0625909752547307</v>
      </c>
      <c r="AK1138" s="5">
        <f t="shared" si="380"/>
        <v>29.75254730713246</v>
      </c>
      <c r="AL1138" s="5">
        <f t="shared" si="381"/>
        <v>74.381368267831149</v>
      </c>
      <c r="AM1138" s="5">
        <f t="shared" si="382"/>
        <v>0</v>
      </c>
      <c r="AN1138" s="5">
        <f t="shared" si="383"/>
        <v>74.381368267831149</v>
      </c>
      <c r="AO1138" s="1" t="s">
        <v>102</v>
      </c>
    </row>
    <row r="1139" spans="1:42" x14ac:dyDescent="0.25">
      <c r="A1139" s="1" t="s">
        <v>19</v>
      </c>
      <c r="B1139" s="1" t="s">
        <v>52</v>
      </c>
      <c r="C1139" s="1" t="s">
        <v>21</v>
      </c>
      <c r="D1139" s="1" t="s">
        <v>53</v>
      </c>
      <c r="E1139" s="1" t="s">
        <v>96</v>
      </c>
      <c r="F1139" s="1" t="s">
        <v>103</v>
      </c>
      <c r="G1139" s="1" t="s">
        <v>114</v>
      </c>
      <c r="H1139" s="1" t="s">
        <v>729</v>
      </c>
      <c r="I1139" s="1" t="s">
        <v>174</v>
      </c>
      <c r="J1139" s="1" t="s">
        <v>101</v>
      </c>
      <c r="K1139" s="1" t="s">
        <v>175</v>
      </c>
      <c r="L1139" s="1">
        <v>2755969</v>
      </c>
      <c r="M1139" s="1" t="s">
        <v>1284</v>
      </c>
      <c r="N1139" s="8">
        <f t="shared" si="387"/>
        <v>44284</v>
      </c>
      <c r="O1139" s="8">
        <f>DATE(2022,12,31)</f>
        <v>44926</v>
      </c>
      <c r="P1139" s="1">
        <v>816</v>
      </c>
      <c r="Q1139" s="1">
        <v>800</v>
      </c>
      <c r="R1139" s="1">
        <f t="shared" si="366"/>
        <v>800</v>
      </c>
      <c r="S1139" s="1">
        <v>2.5</v>
      </c>
      <c r="U1139" s="1">
        <f t="shared" si="367"/>
        <v>643</v>
      </c>
      <c r="V1139" s="7">
        <f t="shared" si="368"/>
        <v>1.2441679626749611</v>
      </c>
      <c r="W1139" s="7">
        <f t="shared" si="369"/>
        <v>454.12130637636079</v>
      </c>
      <c r="X1139" s="7">
        <f t="shared" si="370"/>
        <v>0.56765163297045096</v>
      </c>
      <c r="AA1139" s="8">
        <f t="shared" si="371"/>
        <v>44927</v>
      </c>
      <c r="AB1139" s="8">
        <f t="shared" si="372"/>
        <v>45291</v>
      </c>
      <c r="AC1139" s="1">
        <v>0</v>
      </c>
      <c r="AD1139" s="1">
        <f t="shared" si="373"/>
        <v>0</v>
      </c>
      <c r="AE1139" s="1">
        <f t="shared" si="374"/>
        <v>0</v>
      </c>
      <c r="AF1139" s="1">
        <f t="shared" si="375"/>
        <v>0</v>
      </c>
      <c r="AG1139" s="1">
        <f t="shared" si="376"/>
        <v>0</v>
      </c>
      <c r="AH1139" s="1">
        <f t="shared" si="377"/>
        <v>182.5</v>
      </c>
      <c r="AI1139" s="5">
        <f t="shared" si="378"/>
        <v>0.5</v>
      </c>
      <c r="AJ1139" s="5">
        <f t="shared" si="379"/>
        <v>0.28382581648522548</v>
      </c>
      <c r="AK1139" s="5">
        <f t="shared" si="380"/>
        <v>0</v>
      </c>
      <c r="AL1139" s="5">
        <f t="shared" si="381"/>
        <v>0</v>
      </c>
      <c r="AM1139" s="5">
        <f t="shared" si="382"/>
        <v>0</v>
      </c>
      <c r="AN1139" s="5">
        <f t="shared" si="383"/>
        <v>0</v>
      </c>
      <c r="AO1139" s="1" t="s">
        <v>102</v>
      </c>
    </row>
    <row r="1140" spans="1:42" x14ac:dyDescent="0.25">
      <c r="A1140" s="45" t="s">
        <v>19</v>
      </c>
      <c r="B1140" s="45" t="s">
        <v>52</v>
      </c>
      <c r="C1140" s="45" t="s">
        <v>21</v>
      </c>
      <c r="D1140" s="45" t="s">
        <v>53</v>
      </c>
      <c r="E1140" s="45" t="s">
        <v>96</v>
      </c>
      <c r="F1140" s="45" t="s">
        <v>103</v>
      </c>
      <c r="G1140" s="45" t="s">
        <v>127</v>
      </c>
      <c r="H1140" s="45" t="s">
        <v>1143</v>
      </c>
      <c r="I1140" s="45" t="s">
        <v>162</v>
      </c>
      <c r="J1140" s="45" t="s">
        <v>101</v>
      </c>
      <c r="K1140" s="45"/>
      <c r="L1140" s="45">
        <v>2759487</v>
      </c>
      <c r="M1140" s="45" t="s">
        <v>1285</v>
      </c>
      <c r="N1140" s="46">
        <f t="shared" si="387"/>
        <v>44284</v>
      </c>
      <c r="O1140" s="46">
        <f>DATE(2023,12,15)</f>
        <v>45275</v>
      </c>
      <c r="P1140" s="45">
        <v>2210</v>
      </c>
      <c r="Q1140" s="45">
        <v>2000</v>
      </c>
      <c r="R1140" s="45">
        <f t="shared" si="366"/>
        <v>2000</v>
      </c>
      <c r="S1140" s="45">
        <v>1.5</v>
      </c>
      <c r="T1140" s="45"/>
      <c r="U1140" s="45">
        <f t="shared" si="367"/>
        <v>992</v>
      </c>
      <c r="V1140" s="47">
        <f t="shared" si="368"/>
        <v>2.0161290322580645</v>
      </c>
      <c r="W1140" s="47">
        <f t="shared" si="369"/>
        <v>735.88709677419354</v>
      </c>
      <c r="X1140" s="47">
        <f t="shared" si="370"/>
        <v>0.91985887096774188</v>
      </c>
      <c r="Y1140" s="47"/>
      <c r="Z1140" s="47"/>
      <c r="AA1140" s="46">
        <f t="shared" si="371"/>
        <v>44927</v>
      </c>
      <c r="AB1140" s="46">
        <f t="shared" si="372"/>
        <v>45291</v>
      </c>
      <c r="AC1140" s="45">
        <v>26</v>
      </c>
      <c r="AD1140" s="45">
        <f t="shared" si="373"/>
        <v>0</v>
      </c>
      <c r="AE1140" s="45">
        <f t="shared" si="374"/>
        <v>0</v>
      </c>
      <c r="AF1140" s="45">
        <f t="shared" si="375"/>
        <v>349</v>
      </c>
      <c r="AG1140" s="45">
        <f t="shared" si="376"/>
        <v>0</v>
      </c>
      <c r="AH1140" s="45">
        <f t="shared" si="377"/>
        <v>0</v>
      </c>
      <c r="AI1140" s="48">
        <f t="shared" si="378"/>
        <v>0.95616438356164379</v>
      </c>
      <c r="AJ1140" s="48">
        <f t="shared" si="379"/>
        <v>0.87953629032258052</v>
      </c>
      <c r="AK1140" s="48">
        <f t="shared" si="380"/>
        <v>22.867943548387093</v>
      </c>
      <c r="AL1140" s="48">
        <f t="shared" si="381"/>
        <v>34.301915322580641</v>
      </c>
      <c r="AM1140" s="48">
        <f t="shared" si="382"/>
        <v>0</v>
      </c>
      <c r="AN1140" s="48">
        <f t="shared" si="383"/>
        <v>34.301915322580641</v>
      </c>
      <c r="AO1140" s="45" t="s">
        <v>102</v>
      </c>
      <c r="AP1140" s="45"/>
    </row>
    <row r="1141" spans="1:42" x14ac:dyDescent="0.25">
      <c r="A1141" s="45" t="s">
        <v>19</v>
      </c>
      <c r="B1141" s="45" t="s">
        <v>52</v>
      </c>
      <c r="C1141" s="45" t="s">
        <v>21</v>
      </c>
      <c r="D1141" s="45" t="s">
        <v>53</v>
      </c>
      <c r="E1141" s="45" t="s">
        <v>96</v>
      </c>
      <c r="F1141" s="45" t="s">
        <v>103</v>
      </c>
      <c r="G1141" s="45" t="s">
        <v>98</v>
      </c>
      <c r="H1141" s="45" t="s">
        <v>355</v>
      </c>
      <c r="I1141" s="45" t="s">
        <v>105</v>
      </c>
      <c r="J1141" s="45" t="s">
        <v>106</v>
      </c>
      <c r="K1141" s="45"/>
      <c r="L1141" s="45">
        <v>2759488</v>
      </c>
      <c r="M1141" s="45" t="s">
        <v>1286</v>
      </c>
      <c r="N1141" s="46">
        <f t="shared" si="387"/>
        <v>44284</v>
      </c>
      <c r="O1141" s="46">
        <f>DATE(2025,7,10)</f>
        <v>45848</v>
      </c>
      <c r="P1141" s="45">
        <v>3784</v>
      </c>
      <c r="Q1141" s="45">
        <v>3600</v>
      </c>
      <c r="R1141" s="45">
        <f t="shared" si="366"/>
        <v>3600</v>
      </c>
      <c r="S1141" s="45">
        <v>2.5</v>
      </c>
      <c r="T1141" s="45"/>
      <c r="U1141" s="45">
        <f t="shared" si="367"/>
        <v>1565</v>
      </c>
      <c r="V1141" s="47">
        <f t="shared" si="368"/>
        <v>2.3003194888178915</v>
      </c>
      <c r="W1141" s="47">
        <f t="shared" si="369"/>
        <v>839.61661341853039</v>
      </c>
      <c r="X1141" s="47">
        <f t="shared" si="370"/>
        <v>1.049520766773163</v>
      </c>
      <c r="Y1141" s="47"/>
      <c r="Z1141" s="47"/>
      <c r="AA1141" s="46">
        <f t="shared" si="371"/>
        <v>44927</v>
      </c>
      <c r="AB1141" s="46">
        <f t="shared" si="372"/>
        <v>45291</v>
      </c>
      <c r="AC1141" s="45">
        <v>22</v>
      </c>
      <c r="AD1141" s="45">
        <f t="shared" si="373"/>
        <v>365</v>
      </c>
      <c r="AE1141" s="45">
        <f t="shared" si="374"/>
        <v>0</v>
      </c>
      <c r="AF1141" s="45">
        <f t="shared" si="375"/>
        <v>0</v>
      </c>
      <c r="AG1141" s="45">
        <f t="shared" si="376"/>
        <v>0</v>
      </c>
      <c r="AH1141" s="45">
        <f t="shared" si="377"/>
        <v>0</v>
      </c>
      <c r="AI1141" s="48">
        <f t="shared" si="378"/>
        <v>1</v>
      </c>
      <c r="AJ1141" s="48">
        <f t="shared" si="379"/>
        <v>1.049520766773163</v>
      </c>
      <c r="AK1141" s="48">
        <f t="shared" si="380"/>
        <v>23.089456869009584</v>
      </c>
      <c r="AL1141" s="48">
        <f t="shared" si="381"/>
        <v>57.723642172523959</v>
      </c>
      <c r="AM1141" s="48">
        <f t="shared" si="382"/>
        <v>28.86182108626198</v>
      </c>
      <c r="AN1141" s="48">
        <f t="shared" si="383"/>
        <v>86.585463258785936</v>
      </c>
      <c r="AO1141" s="45" t="s">
        <v>102</v>
      </c>
      <c r="AP1141" s="45"/>
    </row>
    <row r="1142" spans="1:42" x14ac:dyDescent="0.25">
      <c r="A1142" s="45" t="s">
        <v>19</v>
      </c>
      <c r="B1142" s="45" t="s">
        <v>52</v>
      </c>
      <c r="C1142" s="45" t="s">
        <v>21</v>
      </c>
      <c r="D1142" s="45" t="s">
        <v>53</v>
      </c>
      <c r="E1142" s="45" t="s">
        <v>96</v>
      </c>
      <c r="F1142" s="45" t="s">
        <v>103</v>
      </c>
      <c r="G1142" s="45" t="s">
        <v>98</v>
      </c>
      <c r="H1142" s="45" t="s">
        <v>355</v>
      </c>
      <c r="I1142" s="45" t="s">
        <v>105</v>
      </c>
      <c r="J1142" s="45" t="s">
        <v>106</v>
      </c>
      <c r="K1142" s="45"/>
      <c r="L1142" s="45">
        <v>2759489</v>
      </c>
      <c r="M1142" s="45" t="s">
        <v>1287</v>
      </c>
      <c r="N1142" s="46">
        <f t="shared" si="387"/>
        <v>44284</v>
      </c>
      <c r="O1142" s="46">
        <f>DATE(2025,12,15)</f>
        <v>46006</v>
      </c>
      <c r="P1142" s="45">
        <v>3788</v>
      </c>
      <c r="Q1142" s="45">
        <v>3600</v>
      </c>
      <c r="R1142" s="45">
        <f t="shared" si="366"/>
        <v>3600</v>
      </c>
      <c r="S1142" s="45">
        <v>2.5</v>
      </c>
      <c r="T1142" s="45"/>
      <c r="U1142" s="45">
        <f t="shared" si="367"/>
        <v>1723</v>
      </c>
      <c r="V1142" s="47">
        <f t="shared" si="368"/>
        <v>2.089378990133488</v>
      </c>
      <c r="W1142" s="47">
        <f t="shared" si="369"/>
        <v>762.62333139872317</v>
      </c>
      <c r="X1142" s="47">
        <f t="shared" si="370"/>
        <v>0.95327916424840398</v>
      </c>
      <c r="Y1142" s="47"/>
      <c r="Z1142" s="47"/>
      <c r="AA1142" s="46">
        <f t="shared" si="371"/>
        <v>44927</v>
      </c>
      <c r="AB1142" s="46">
        <f t="shared" si="372"/>
        <v>45291</v>
      </c>
      <c r="AC1142" s="45">
        <v>36</v>
      </c>
      <c r="AD1142" s="45">
        <f t="shared" si="373"/>
        <v>365</v>
      </c>
      <c r="AE1142" s="45">
        <f t="shared" si="374"/>
        <v>0</v>
      </c>
      <c r="AF1142" s="45">
        <f t="shared" si="375"/>
        <v>0</v>
      </c>
      <c r="AG1142" s="45">
        <f t="shared" si="376"/>
        <v>0</v>
      </c>
      <c r="AH1142" s="45">
        <f t="shared" si="377"/>
        <v>0</v>
      </c>
      <c r="AI1142" s="48">
        <f t="shared" si="378"/>
        <v>1</v>
      </c>
      <c r="AJ1142" s="48">
        <f t="shared" si="379"/>
        <v>0.95327916424840398</v>
      </c>
      <c r="AK1142" s="48">
        <f t="shared" si="380"/>
        <v>34.318049912942541</v>
      </c>
      <c r="AL1142" s="48">
        <f t="shared" si="381"/>
        <v>85.795124782356353</v>
      </c>
      <c r="AM1142" s="48">
        <f t="shared" si="382"/>
        <v>42.897562391178177</v>
      </c>
      <c r="AN1142" s="48">
        <f t="shared" si="383"/>
        <v>128.69268717353452</v>
      </c>
      <c r="AO1142" s="45" t="s">
        <v>102</v>
      </c>
      <c r="AP1142" s="45"/>
    </row>
    <row r="1143" spans="1:42" x14ac:dyDescent="0.25">
      <c r="A1143" s="1" t="s">
        <v>19</v>
      </c>
      <c r="B1143" s="1" t="s">
        <v>52</v>
      </c>
      <c r="C1143" s="1" t="s">
        <v>21</v>
      </c>
      <c r="D1143" s="1" t="s">
        <v>53</v>
      </c>
      <c r="E1143" s="1" t="s">
        <v>96</v>
      </c>
      <c r="F1143" s="1" t="s">
        <v>103</v>
      </c>
      <c r="G1143" s="1" t="s">
        <v>98</v>
      </c>
      <c r="H1143" s="1" t="s">
        <v>104</v>
      </c>
      <c r="I1143" s="1" t="s">
        <v>105</v>
      </c>
      <c r="J1143" s="1" t="s">
        <v>106</v>
      </c>
      <c r="L1143" s="1">
        <v>2774011</v>
      </c>
      <c r="M1143" s="1" t="s">
        <v>1288</v>
      </c>
      <c r="N1143" s="8">
        <f t="shared" si="387"/>
        <v>44284</v>
      </c>
      <c r="O1143" s="8">
        <f>DATE(2025,12,19)</f>
        <v>46010</v>
      </c>
      <c r="P1143" s="1">
        <v>4640</v>
      </c>
      <c r="Q1143" s="1">
        <v>3600</v>
      </c>
      <c r="R1143" s="1">
        <f t="shared" si="366"/>
        <v>3600</v>
      </c>
      <c r="S1143" s="1">
        <v>2.5</v>
      </c>
      <c r="U1143" s="1">
        <f t="shared" si="367"/>
        <v>1727</v>
      </c>
      <c r="V1143" s="7">
        <f t="shared" si="368"/>
        <v>2.0845396641574987</v>
      </c>
      <c r="W1143" s="7">
        <f t="shared" si="369"/>
        <v>760.85697741748697</v>
      </c>
      <c r="X1143" s="7">
        <f t="shared" si="370"/>
        <v>0.95107122177185877</v>
      </c>
      <c r="AA1143" s="8">
        <f t="shared" si="371"/>
        <v>44927</v>
      </c>
      <c r="AB1143" s="8">
        <f t="shared" si="372"/>
        <v>45291</v>
      </c>
      <c r="AC1143" s="1">
        <v>32</v>
      </c>
      <c r="AD1143" s="1">
        <f t="shared" si="373"/>
        <v>365</v>
      </c>
      <c r="AE1143" s="1">
        <f t="shared" si="374"/>
        <v>0</v>
      </c>
      <c r="AF1143" s="1">
        <f t="shared" si="375"/>
        <v>0</v>
      </c>
      <c r="AG1143" s="1">
        <f t="shared" si="376"/>
        <v>0</v>
      </c>
      <c r="AH1143" s="1">
        <f t="shared" si="377"/>
        <v>0</v>
      </c>
      <c r="AI1143" s="5">
        <f t="shared" si="378"/>
        <v>1</v>
      </c>
      <c r="AJ1143" s="5">
        <f t="shared" si="379"/>
        <v>0.95107122177185877</v>
      </c>
      <c r="AK1143" s="5">
        <f t="shared" si="380"/>
        <v>30.434279096699481</v>
      </c>
      <c r="AL1143" s="5">
        <f t="shared" si="381"/>
        <v>76.085697741748703</v>
      </c>
      <c r="AM1143" s="5">
        <f t="shared" si="382"/>
        <v>38.042848870874352</v>
      </c>
      <c r="AN1143" s="5">
        <f t="shared" si="383"/>
        <v>114.12854661262305</v>
      </c>
      <c r="AO1143" s="1" t="s">
        <v>102</v>
      </c>
    </row>
    <row r="1144" spans="1:42" x14ac:dyDescent="0.25">
      <c r="A1144" s="1" t="s">
        <v>19</v>
      </c>
      <c r="B1144" s="1" t="s">
        <v>52</v>
      </c>
      <c r="C1144" s="1" t="s">
        <v>21</v>
      </c>
      <c r="D1144" s="1" t="s">
        <v>53</v>
      </c>
      <c r="E1144" s="1" t="s">
        <v>96</v>
      </c>
      <c r="F1144" s="1" t="s">
        <v>103</v>
      </c>
      <c r="G1144" s="1" t="s">
        <v>114</v>
      </c>
      <c r="H1144" s="1" t="s">
        <v>119</v>
      </c>
      <c r="I1144" s="1" t="s">
        <v>105</v>
      </c>
      <c r="J1144" s="1" t="s">
        <v>106</v>
      </c>
      <c r="K1144" s="1" t="s">
        <v>116</v>
      </c>
      <c r="L1144" s="1">
        <v>2774013</v>
      </c>
      <c r="M1144" s="1" t="s">
        <v>1289</v>
      </c>
      <c r="N1144" s="8">
        <f t="shared" si="387"/>
        <v>44284</v>
      </c>
      <c r="O1144" s="8">
        <f>DATE(2023,12,22)</f>
        <v>45282</v>
      </c>
      <c r="P1144" s="1">
        <v>3882</v>
      </c>
      <c r="Q1144" s="1">
        <v>1200</v>
      </c>
      <c r="R1144" s="1">
        <f t="shared" si="366"/>
        <v>3200</v>
      </c>
      <c r="S1144" s="1">
        <v>2.5</v>
      </c>
      <c r="U1144" s="1">
        <f t="shared" si="367"/>
        <v>999</v>
      </c>
      <c r="V1144" s="7">
        <f t="shared" si="368"/>
        <v>3.2032032032032034</v>
      </c>
      <c r="W1144" s="7">
        <f t="shared" si="369"/>
        <v>1169.1691691691692</v>
      </c>
      <c r="X1144" s="7">
        <f t="shared" si="370"/>
        <v>1.4614614614614616</v>
      </c>
      <c r="AA1144" s="8">
        <f t="shared" si="371"/>
        <v>44927</v>
      </c>
      <c r="AB1144" s="8">
        <f t="shared" si="372"/>
        <v>45291</v>
      </c>
      <c r="AC1144" s="1">
        <v>124</v>
      </c>
      <c r="AD1144" s="1">
        <f t="shared" si="373"/>
        <v>0</v>
      </c>
      <c r="AE1144" s="1">
        <f t="shared" si="374"/>
        <v>0</v>
      </c>
      <c r="AF1144" s="1">
        <f t="shared" si="375"/>
        <v>356</v>
      </c>
      <c r="AG1144" s="1">
        <f t="shared" si="376"/>
        <v>0</v>
      </c>
      <c r="AH1144" s="1">
        <f t="shared" si="377"/>
        <v>0</v>
      </c>
      <c r="AI1144" s="5">
        <f t="shared" si="378"/>
        <v>0.97534246575342465</v>
      </c>
      <c r="AJ1144" s="5">
        <f t="shared" si="379"/>
        <v>1.4254254254254255</v>
      </c>
      <c r="AK1144" s="5">
        <f t="shared" si="380"/>
        <v>176.75275275275277</v>
      </c>
      <c r="AL1144" s="5">
        <f t="shared" si="381"/>
        <v>441.8818818818819</v>
      </c>
      <c r="AM1144" s="5">
        <f t="shared" si="382"/>
        <v>220.94094094094095</v>
      </c>
      <c r="AN1144" s="5">
        <f t="shared" si="383"/>
        <v>662.8228228228229</v>
      </c>
      <c r="AO1144" s="1" t="s">
        <v>102</v>
      </c>
    </row>
    <row r="1145" spans="1:42" x14ac:dyDescent="0.25">
      <c r="A1145" s="45" t="s">
        <v>19</v>
      </c>
      <c r="B1145" s="45" t="s">
        <v>52</v>
      </c>
      <c r="C1145" s="45" t="s">
        <v>21</v>
      </c>
      <c r="D1145" s="45" t="s">
        <v>53</v>
      </c>
      <c r="E1145" s="45" t="s">
        <v>96</v>
      </c>
      <c r="F1145" s="45" t="s">
        <v>103</v>
      </c>
      <c r="G1145" s="45" t="s">
        <v>127</v>
      </c>
      <c r="H1145" s="45" t="s">
        <v>1143</v>
      </c>
      <c r="I1145" s="45" t="s">
        <v>162</v>
      </c>
      <c r="J1145" s="45" t="s">
        <v>101</v>
      </c>
      <c r="K1145" s="45"/>
      <c r="L1145" s="45">
        <v>2840617</v>
      </c>
      <c r="M1145" s="45" t="s">
        <v>1290</v>
      </c>
      <c r="N1145" s="46">
        <f t="shared" ref="N1145:N1151" si="388">DATE(2022,2,7)</f>
        <v>44599</v>
      </c>
      <c r="O1145" s="46">
        <f>DATE(2024,12,13)</f>
        <v>45639</v>
      </c>
      <c r="P1145" s="45">
        <v>2210</v>
      </c>
      <c r="Q1145" s="45">
        <v>2000</v>
      </c>
      <c r="R1145" s="45">
        <f t="shared" ref="R1145:R1208" si="389">IF(OR(G1145="QUALIFICACAO PROFISSIONAL (FIC)",G1145="DOUTORADO"),P1145,
    IF(ISNUMBER(FIND("PROEJA",K1145)),2400,
        IF(K1145="INTEGRADO",
            IF(Q1145=800,3000,
                IF(Q1145=1000,3100,
                    IF(Q1145=1200,3200,Q1145)
                )
            ),
            Q1145
        )
    )
)</f>
        <v>2000</v>
      </c>
      <c r="S1145" s="45">
        <v>1.5</v>
      </c>
      <c r="T1145" s="45"/>
      <c r="U1145" s="45">
        <f t="shared" ref="U1145:U1208" si="390">O1145-N1145+1</f>
        <v>1041</v>
      </c>
      <c r="V1145" s="47">
        <f t="shared" ref="V1145:V1208" si="391">IF(R1145&gt;P1145,P1145,R1145)/U1145</f>
        <v>1.9212295869356388</v>
      </c>
      <c r="W1145" s="47">
        <f t="shared" ref="W1145:W1208" si="392">IF(U1145&gt;365,V1145*365,R1145)</f>
        <v>701.2487992315082</v>
      </c>
      <c r="X1145" s="47">
        <f t="shared" ref="X1145:X1208" si="393">IF(U1145&gt;365,W1145/800,R1145/800)</f>
        <v>0.87656099903938522</v>
      </c>
      <c r="Y1145" s="47"/>
      <c r="Z1145" s="47"/>
      <c r="AA1145" s="46">
        <f t="shared" ref="AA1145:AA1208" si="394">DATE(2023,1,1)</f>
        <v>44927</v>
      </c>
      <c r="AB1145" s="46">
        <f t="shared" ref="AB1145:AB1208" si="395">DATE(2023,12,31)</f>
        <v>45291</v>
      </c>
      <c r="AC1145" s="45">
        <v>32</v>
      </c>
      <c r="AD1145" s="45">
        <f t="shared" ref="AD1145:AD1208" si="396">IF(AND(N1145&lt;AA1145,O1145&gt;AB1145),AB1145-AA1145+1,0)</f>
        <v>365</v>
      </c>
      <c r="AE1145" s="45">
        <f t="shared" ref="AE1145:AE1208" si="397">IF(AND(N1145&gt;=AA1145,O1145&gt;AB1145,N1145&lt;AB1145),AB1145-N1145+1,0)</f>
        <v>0</v>
      </c>
      <c r="AF1145" s="45">
        <f t="shared" ref="AF1145:AF1208" si="398">IF(AND(N1145&lt;AA1145,O1145&lt;=AB1145,O1145&gt;=AA1145),O1145-AA1145+1,0)</f>
        <v>0</v>
      </c>
      <c r="AG1145" s="45">
        <f t="shared" ref="AG1145:AG1208" si="399">IF(AND(N1145&gt;=AA1145,O1145&lt;=AB1145),O1145-N1145+1,0)</f>
        <v>0</v>
      </c>
      <c r="AH1145" s="45">
        <f t="shared" ref="AH1145:AH1208" si="400">IF(AND(N1145&lt;AA1145,O1145&lt;AA1145),(AB1145-AA1145+1)/2,0)</f>
        <v>0</v>
      </c>
      <c r="AI1145" s="48">
        <f t="shared" ref="AI1145:AI1208" si="401">SUM(AD1145:AH1145)/IF(U1145&gt;=365,AB1145-AA1145+1,U1145)</f>
        <v>1</v>
      </c>
      <c r="AJ1145" s="48">
        <f t="shared" ref="AJ1145:AJ1208" si="402">X1145*AI1145</f>
        <v>0.87656099903938522</v>
      </c>
      <c r="AK1145" s="48">
        <f t="shared" ref="AK1145:AK1208" si="403">IF(AH1145=0,AJ1145*AC1145,IF(AA1145-O1145&gt;1095,0,AJ1145*(AC1145/2)))</f>
        <v>28.049951969260327</v>
      </c>
      <c r="AL1145" s="48">
        <f t="shared" ref="AL1145:AL1208" si="404">AK1145*S1145</f>
        <v>42.074927953890494</v>
      </c>
      <c r="AM1145" s="48">
        <f t="shared" ref="AM1145:AM1208" si="405">IF(J1145="SIM",AL1145*50%,0)</f>
        <v>0</v>
      </c>
      <c r="AN1145" s="48">
        <f t="shared" ref="AN1145:AN1208" si="406">AL1145+AM1145</f>
        <v>42.074927953890494</v>
      </c>
      <c r="AO1145" s="45" t="s">
        <v>102</v>
      </c>
      <c r="AP1145" s="45"/>
    </row>
    <row r="1146" spans="1:42" x14ac:dyDescent="0.25">
      <c r="A1146" s="45" t="s">
        <v>19</v>
      </c>
      <c r="B1146" s="45" t="s">
        <v>52</v>
      </c>
      <c r="C1146" s="45" t="s">
        <v>21</v>
      </c>
      <c r="D1146" s="45" t="s">
        <v>53</v>
      </c>
      <c r="E1146" s="45" t="s">
        <v>96</v>
      </c>
      <c r="F1146" s="45" t="s">
        <v>103</v>
      </c>
      <c r="G1146" s="45" t="s">
        <v>98</v>
      </c>
      <c r="H1146" s="45" t="s">
        <v>355</v>
      </c>
      <c r="I1146" s="45" t="s">
        <v>105</v>
      </c>
      <c r="J1146" s="45" t="s">
        <v>106</v>
      </c>
      <c r="K1146" s="45"/>
      <c r="L1146" s="45">
        <v>2840618</v>
      </c>
      <c r="M1146" s="45" t="s">
        <v>1291</v>
      </c>
      <c r="N1146" s="46">
        <f t="shared" si="388"/>
        <v>44599</v>
      </c>
      <c r="O1146" s="46">
        <f>DATE(2026,7,18)</f>
        <v>46221</v>
      </c>
      <c r="P1146" s="45">
        <v>3784</v>
      </c>
      <c r="Q1146" s="45">
        <v>3600</v>
      </c>
      <c r="R1146" s="45">
        <f t="shared" si="389"/>
        <v>3600</v>
      </c>
      <c r="S1146" s="45">
        <v>2.5</v>
      </c>
      <c r="T1146" s="45"/>
      <c r="U1146" s="45">
        <f t="shared" si="390"/>
        <v>1623</v>
      </c>
      <c r="V1146" s="47">
        <f t="shared" si="391"/>
        <v>2.2181146025878005</v>
      </c>
      <c r="W1146" s="47">
        <f t="shared" si="392"/>
        <v>809.61182994454714</v>
      </c>
      <c r="X1146" s="47">
        <f t="shared" si="393"/>
        <v>1.012014787430684</v>
      </c>
      <c r="Y1146" s="47"/>
      <c r="Z1146" s="47"/>
      <c r="AA1146" s="46">
        <f t="shared" si="394"/>
        <v>44927</v>
      </c>
      <c r="AB1146" s="46">
        <f t="shared" si="395"/>
        <v>45291</v>
      </c>
      <c r="AC1146" s="45">
        <v>33</v>
      </c>
      <c r="AD1146" s="45">
        <f t="shared" si="396"/>
        <v>365</v>
      </c>
      <c r="AE1146" s="45">
        <f t="shared" si="397"/>
        <v>0</v>
      </c>
      <c r="AF1146" s="45">
        <f t="shared" si="398"/>
        <v>0</v>
      </c>
      <c r="AG1146" s="45">
        <f t="shared" si="399"/>
        <v>0</v>
      </c>
      <c r="AH1146" s="45">
        <f t="shared" si="400"/>
        <v>0</v>
      </c>
      <c r="AI1146" s="48">
        <f t="shared" si="401"/>
        <v>1</v>
      </c>
      <c r="AJ1146" s="48">
        <f t="shared" si="402"/>
        <v>1.012014787430684</v>
      </c>
      <c r="AK1146" s="48">
        <f t="shared" si="403"/>
        <v>33.396487985212573</v>
      </c>
      <c r="AL1146" s="48">
        <f t="shared" si="404"/>
        <v>83.491219963031426</v>
      </c>
      <c r="AM1146" s="48">
        <f t="shared" si="405"/>
        <v>41.745609981515713</v>
      </c>
      <c r="AN1146" s="48">
        <f t="shared" si="406"/>
        <v>125.23682994454714</v>
      </c>
      <c r="AO1146" s="45" t="s">
        <v>102</v>
      </c>
      <c r="AP1146" s="45"/>
    </row>
    <row r="1147" spans="1:42" x14ac:dyDescent="0.25">
      <c r="A1147" s="45" t="s">
        <v>19</v>
      </c>
      <c r="B1147" s="45" t="s">
        <v>52</v>
      </c>
      <c r="C1147" s="45" t="s">
        <v>21</v>
      </c>
      <c r="D1147" s="45" t="s">
        <v>53</v>
      </c>
      <c r="E1147" s="45" t="s">
        <v>96</v>
      </c>
      <c r="F1147" s="45" t="s">
        <v>103</v>
      </c>
      <c r="G1147" s="45" t="s">
        <v>98</v>
      </c>
      <c r="H1147" s="45" t="s">
        <v>355</v>
      </c>
      <c r="I1147" s="45" t="s">
        <v>105</v>
      </c>
      <c r="J1147" s="45" t="s">
        <v>106</v>
      </c>
      <c r="K1147" s="45"/>
      <c r="L1147" s="45">
        <v>2840620</v>
      </c>
      <c r="M1147" s="45" t="s">
        <v>1292</v>
      </c>
      <c r="N1147" s="46">
        <f t="shared" si="388"/>
        <v>44599</v>
      </c>
      <c r="O1147" s="46">
        <f>DATE(2026,12,19)</f>
        <v>46375</v>
      </c>
      <c r="P1147" s="45">
        <v>3788</v>
      </c>
      <c r="Q1147" s="45">
        <v>3600</v>
      </c>
      <c r="R1147" s="45">
        <f t="shared" si="389"/>
        <v>3600</v>
      </c>
      <c r="S1147" s="45">
        <v>2.5</v>
      </c>
      <c r="T1147" s="45"/>
      <c r="U1147" s="45">
        <f t="shared" si="390"/>
        <v>1777</v>
      </c>
      <c r="V1147" s="47">
        <f t="shared" si="391"/>
        <v>2.0258863252673045</v>
      </c>
      <c r="W1147" s="47">
        <f t="shared" si="392"/>
        <v>739.44850872256609</v>
      </c>
      <c r="X1147" s="47">
        <f t="shared" si="393"/>
        <v>0.92431063590320761</v>
      </c>
      <c r="Y1147" s="47"/>
      <c r="Z1147" s="47"/>
      <c r="AA1147" s="46">
        <f t="shared" si="394"/>
        <v>44927</v>
      </c>
      <c r="AB1147" s="46">
        <f t="shared" si="395"/>
        <v>45291</v>
      </c>
      <c r="AC1147" s="45">
        <v>34</v>
      </c>
      <c r="AD1147" s="45">
        <f t="shared" si="396"/>
        <v>365</v>
      </c>
      <c r="AE1147" s="45">
        <f t="shared" si="397"/>
        <v>0</v>
      </c>
      <c r="AF1147" s="45">
        <f t="shared" si="398"/>
        <v>0</v>
      </c>
      <c r="AG1147" s="45">
        <f t="shared" si="399"/>
        <v>0</v>
      </c>
      <c r="AH1147" s="45">
        <f t="shared" si="400"/>
        <v>0</v>
      </c>
      <c r="AI1147" s="48">
        <f t="shared" si="401"/>
        <v>1</v>
      </c>
      <c r="AJ1147" s="48">
        <f t="shared" si="402"/>
        <v>0.92431063590320761</v>
      </c>
      <c r="AK1147" s="48">
        <f t="shared" si="403"/>
        <v>31.426561620709059</v>
      </c>
      <c r="AL1147" s="48">
        <f t="shared" si="404"/>
        <v>78.566404051772651</v>
      </c>
      <c r="AM1147" s="48">
        <f t="shared" si="405"/>
        <v>39.283202025886325</v>
      </c>
      <c r="AN1147" s="48">
        <f t="shared" si="406"/>
        <v>117.84960607765898</v>
      </c>
      <c r="AO1147" s="45" t="s">
        <v>102</v>
      </c>
      <c r="AP1147" s="45"/>
    </row>
    <row r="1148" spans="1:42" x14ac:dyDescent="0.25">
      <c r="A1148" s="1" t="s">
        <v>19</v>
      </c>
      <c r="B1148" s="1" t="s">
        <v>52</v>
      </c>
      <c r="C1148" s="1" t="s">
        <v>21</v>
      </c>
      <c r="D1148" s="1" t="s">
        <v>53</v>
      </c>
      <c r="E1148" s="1" t="s">
        <v>96</v>
      </c>
      <c r="F1148" s="1" t="s">
        <v>103</v>
      </c>
      <c r="G1148" s="1" t="s">
        <v>98</v>
      </c>
      <c r="H1148" s="1" t="s">
        <v>104</v>
      </c>
      <c r="I1148" s="1" t="s">
        <v>105</v>
      </c>
      <c r="J1148" s="1" t="s">
        <v>106</v>
      </c>
      <c r="L1148" s="1">
        <v>2851411</v>
      </c>
      <c r="M1148" s="1" t="s">
        <v>1293</v>
      </c>
      <c r="N1148" s="8">
        <f t="shared" si="388"/>
        <v>44599</v>
      </c>
      <c r="O1148" s="8">
        <f>DATE(2026,7,31)</f>
        <v>46234</v>
      </c>
      <c r="P1148" s="1">
        <v>3780</v>
      </c>
      <c r="Q1148" s="1">
        <v>3600</v>
      </c>
      <c r="R1148" s="1">
        <f t="shared" si="389"/>
        <v>3600</v>
      </c>
      <c r="S1148" s="1">
        <v>2.5</v>
      </c>
      <c r="U1148" s="1">
        <f t="shared" si="390"/>
        <v>1636</v>
      </c>
      <c r="V1148" s="7">
        <f t="shared" si="391"/>
        <v>2.2004889975550124</v>
      </c>
      <c r="W1148" s="7">
        <f t="shared" si="392"/>
        <v>803.17848410757949</v>
      </c>
      <c r="X1148" s="7">
        <f t="shared" si="393"/>
        <v>1.0039731051344745</v>
      </c>
      <c r="AA1148" s="8">
        <f t="shared" si="394"/>
        <v>44927</v>
      </c>
      <c r="AB1148" s="8">
        <f t="shared" si="395"/>
        <v>45291</v>
      </c>
      <c r="AC1148" s="1">
        <v>33</v>
      </c>
      <c r="AD1148" s="1">
        <f t="shared" si="396"/>
        <v>365</v>
      </c>
      <c r="AE1148" s="1">
        <f t="shared" si="397"/>
        <v>0</v>
      </c>
      <c r="AF1148" s="1">
        <f t="shared" si="398"/>
        <v>0</v>
      </c>
      <c r="AG1148" s="1">
        <f t="shared" si="399"/>
        <v>0</v>
      </c>
      <c r="AH1148" s="1">
        <f t="shared" si="400"/>
        <v>0</v>
      </c>
      <c r="AI1148" s="5">
        <f t="shared" si="401"/>
        <v>1</v>
      </c>
      <c r="AJ1148" s="5">
        <f t="shared" si="402"/>
        <v>1.0039731051344745</v>
      </c>
      <c r="AK1148" s="5">
        <f t="shared" si="403"/>
        <v>33.13111246943766</v>
      </c>
      <c r="AL1148" s="5">
        <f t="shared" si="404"/>
        <v>82.827781173594147</v>
      </c>
      <c r="AM1148" s="5">
        <f t="shared" si="405"/>
        <v>41.413890586797073</v>
      </c>
      <c r="AN1148" s="5">
        <f t="shared" si="406"/>
        <v>124.24167176039123</v>
      </c>
      <c r="AO1148" s="1" t="s">
        <v>102</v>
      </c>
    </row>
    <row r="1149" spans="1:42" x14ac:dyDescent="0.25">
      <c r="A1149" s="1" t="s">
        <v>19</v>
      </c>
      <c r="B1149" s="1" t="s">
        <v>52</v>
      </c>
      <c r="C1149" s="1" t="s">
        <v>21</v>
      </c>
      <c r="D1149" s="1" t="s">
        <v>53</v>
      </c>
      <c r="E1149" s="1" t="s">
        <v>96</v>
      </c>
      <c r="F1149" s="1" t="s">
        <v>103</v>
      </c>
      <c r="G1149" s="1" t="s">
        <v>114</v>
      </c>
      <c r="H1149" s="1" t="s">
        <v>119</v>
      </c>
      <c r="I1149" s="1" t="s">
        <v>105</v>
      </c>
      <c r="J1149" s="1" t="s">
        <v>106</v>
      </c>
      <c r="K1149" s="1" t="s">
        <v>116</v>
      </c>
      <c r="L1149" s="1">
        <v>2851507</v>
      </c>
      <c r="M1149" s="1" t="s">
        <v>1294</v>
      </c>
      <c r="N1149" s="8">
        <f t="shared" si="388"/>
        <v>44599</v>
      </c>
      <c r="O1149" s="8">
        <f>DATE(2024,12,29)</f>
        <v>45655</v>
      </c>
      <c r="P1149" s="1">
        <v>3882</v>
      </c>
      <c r="Q1149" s="1">
        <v>1200</v>
      </c>
      <c r="R1149" s="1">
        <f t="shared" si="389"/>
        <v>3200</v>
      </c>
      <c r="S1149" s="1">
        <v>2.5</v>
      </c>
      <c r="U1149" s="1">
        <f t="shared" si="390"/>
        <v>1057</v>
      </c>
      <c r="V1149" s="7">
        <f t="shared" si="391"/>
        <v>3.0274361400189216</v>
      </c>
      <c r="W1149" s="7">
        <f t="shared" si="392"/>
        <v>1105.0141911069063</v>
      </c>
      <c r="X1149" s="7">
        <f t="shared" si="393"/>
        <v>1.381267738883633</v>
      </c>
      <c r="AA1149" s="8">
        <f t="shared" si="394"/>
        <v>44927</v>
      </c>
      <c r="AB1149" s="8">
        <f t="shared" si="395"/>
        <v>45291</v>
      </c>
      <c r="AC1149" s="1">
        <v>142</v>
      </c>
      <c r="AD1149" s="1">
        <f t="shared" si="396"/>
        <v>365</v>
      </c>
      <c r="AE1149" s="1">
        <f t="shared" si="397"/>
        <v>0</v>
      </c>
      <c r="AF1149" s="1">
        <f t="shared" si="398"/>
        <v>0</v>
      </c>
      <c r="AG1149" s="1">
        <f t="shared" si="399"/>
        <v>0</v>
      </c>
      <c r="AH1149" s="1">
        <f t="shared" si="400"/>
        <v>0</v>
      </c>
      <c r="AI1149" s="5">
        <f t="shared" si="401"/>
        <v>1</v>
      </c>
      <c r="AJ1149" s="5">
        <f t="shared" si="402"/>
        <v>1.381267738883633</v>
      </c>
      <c r="AK1149" s="5">
        <f t="shared" si="403"/>
        <v>196.14001892147587</v>
      </c>
      <c r="AL1149" s="5">
        <f t="shared" si="404"/>
        <v>490.35004730368968</v>
      </c>
      <c r="AM1149" s="5">
        <f t="shared" si="405"/>
        <v>245.17502365184484</v>
      </c>
      <c r="AN1149" s="5">
        <f t="shared" si="406"/>
        <v>735.52507095553449</v>
      </c>
      <c r="AO1149" s="1" t="s">
        <v>102</v>
      </c>
    </row>
    <row r="1150" spans="1:42" x14ac:dyDescent="0.25">
      <c r="A1150" s="1" t="s">
        <v>19</v>
      </c>
      <c r="B1150" s="1" t="s">
        <v>52</v>
      </c>
      <c r="C1150" s="1" t="s">
        <v>21</v>
      </c>
      <c r="D1150" s="1" t="s">
        <v>53</v>
      </c>
      <c r="E1150" s="1" t="s">
        <v>96</v>
      </c>
      <c r="F1150" s="1" t="s">
        <v>103</v>
      </c>
      <c r="G1150" s="1" t="s">
        <v>320</v>
      </c>
      <c r="H1150" s="1" t="s">
        <v>491</v>
      </c>
      <c r="I1150" s="1" t="s">
        <v>174</v>
      </c>
      <c r="J1150" s="1" t="s">
        <v>101</v>
      </c>
      <c r="L1150" s="1">
        <v>2882695</v>
      </c>
      <c r="M1150" s="1" t="s">
        <v>1295</v>
      </c>
      <c r="N1150" s="8">
        <f t="shared" si="388"/>
        <v>44599</v>
      </c>
      <c r="O1150" s="8">
        <f>DATE(2025,12,31)</f>
        <v>46022</v>
      </c>
      <c r="P1150" s="1">
        <v>3226</v>
      </c>
      <c r="Q1150" s="1">
        <v>3200</v>
      </c>
      <c r="R1150" s="1">
        <f t="shared" si="389"/>
        <v>3200</v>
      </c>
      <c r="S1150" s="1">
        <v>2.5</v>
      </c>
      <c r="U1150" s="1">
        <f t="shared" si="390"/>
        <v>1424</v>
      </c>
      <c r="V1150" s="7">
        <f t="shared" si="391"/>
        <v>2.2471910112359552</v>
      </c>
      <c r="W1150" s="7">
        <f t="shared" si="392"/>
        <v>820.2247191011237</v>
      </c>
      <c r="X1150" s="7">
        <f t="shared" si="393"/>
        <v>1.0252808988764046</v>
      </c>
      <c r="AA1150" s="8">
        <f t="shared" si="394"/>
        <v>44927</v>
      </c>
      <c r="AB1150" s="8">
        <f t="shared" si="395"/>
        <v>45291</v>
      </c>
      <c r="AC1150" s="1">
        <v>23</v>
      </c>
      <c r="AD1150" s="1">
        <f t="shared" si="396"/>
        <v>365</v>
      </c>
      <c r="AE1150" s="1">
        <f t="shared" si="397"/>
        <v>0</v>
      </c>
      <c r="AF1150" s="1">
        <f t="shared" si="398"/>
        <v>0</v>
      </c>
      <c r="AG1150" s="1">
        <f t="shared" si="399"/>
        <v>0</v>
      </c>
      <c r="AH1150" s="1">
        <f t="shared" si="400"/>
        <v>0</v>
      </c>
      <c r="AI1150" s="5">
        <f t="shared" si="401"/>
        <v>1</v>
      </c>
      <c r="AJ1150" s="5">
        <f t="shared" si="402"/>
        <v>1.0252808988764046</v>
      </c>
      <c r="AK1150" s="5">
        <f t="shared" si="403"/>
        <v>23.581460674157306</v>
      </c>
      <c r="AL1150" s="5">
        <f t="shared" si="404"/>
        <v>58.953651685393268</v>
      </c>
      <c r="AM1150" s="5">
        <f t="shared" si="405"/>
        <v>0</v>
      </c>
      <c r="AN1150" s="5">
        <f t="shared" si="406"/>
        <v>58.953651685393268</v>
      </c>
      <c r="AO1150" s="1" t="s">
        <v>102</v>
      </c>
    </row>
    <row r="1151" spans="1:42" x14ac:dyDescent="0.25">
      <c r="A1151" s="1" t="s">
        <v>19</v>
      </c>
      <c r="B1151" s="1" t="s">
        <v>52</v>
      </c>
      <c r="C1151" s="1" t="s">
        <v>21</v>
      </c>
      <c r="D1151" s="1" t="s">
        <v>53</v>
      </c>
      <c r="E1151" s="1" t="s">
        <v>96</v>
      </c>
      <c r="F1151" s="1" t="s">
        <v>103</v>
      </c>
      <c r="G1151" s="1" t="s">
        <v>114</v>
      </c>
      <c r="H1151" s="1" t="s">
        <v>894</v>
      </c>
      <c r="I1151" s="1" t="s">
        <v>157</v>
      </c>
      <c r="J1151" s="1" t="s">
        <v>101</v>
      </c>
      <c r="K1151" s="1" t="s">
        <v>116</v>
      </c>
      <c r="L1151" s="1">
        <v>2900189</v>
      </c>
      <c r="M1151" s="1" t="s">
        <v>1072</v>
      </c>
      <c r="N1151" s="8">
        <f t="shared" si="388"/>
        <v>44599</v>
      </c>
      <c r="O1151" s="8">
        <f>DATE(2024,12,31)</f>
        <v>45657</v>
      </c>
      <c r="P1151" s="1">
        <v>3226</v>
      </c>
      <c r="Q1151" s="1">
        <v>1200</v>
      </c>
      <c r="R1151" s="1">
        <f t="shared" si="389"/>
        <v>3200</v>
      </c>
      <c r="S1151" s="1">
        <v>1.5</v>
      </c>
      <c r="U1151" s="1">
        <f t="shared" si="390"/>
        <v>1059</v>
      </c>
      <c r="V1151" s="7">
        <f t="shared" si="391"/>
        <v>3.0217186024551466</v>
      </c>
      <c r="W1151" s="7">
        <f t="shared" si="392"/>
        <v>1102.9272898961285</v>
      </c>
      <c r="X1151" s="7">
        <f t="shared" si="393"/>
        <v>1.3786591123701606</v>
      </c>
      <c r="AA1151" s="8">
        <f t="shared" si="394"/>
        <v>44927</v>
      </c>
      <c r="AB1151" s="8">
        <f t="shared" si="395"/>
        <v>45291</v>
      </c>
      <c r="AC1151" s="1">
        <v>33</v>
      </c>
      <c r="AD1151" s="1">
        <f t="shared" si="396"/>
        <v>365</v>
      </c>
      <c r="AE1151" s="1">
        <f t="shared" si="397"/>
        <v>0</v>
      </c>
      <c r="AF1151" s="1">
        <f t="shared" si="398"/>
        <v>0</v>
      </c>
      <c r="AG1151" s="1">
        <f t="shared" si="399"/>
        <v>0</v>
      </c>
      <c r="AH1151" s="1">
        <f t="shared" si="400"/>
        <v>0</v>
      </c>
      <c r="AI1151" s="5">
        <f t="shared" si="401"/>
        <v>1</v>
      </c>
      <c r="AJ1151" s="5">
        <f t="shared" si="402"/>
        <v>1.3786591123701606</v>
      </c>
      <c r="AK1151" s="5">
        <f t="shared" si="403"/>
        <v>45.495750708215297</v>
      </c>
      <c r="AL1151" s="5">
        <f t="shared" si="404"/>
        <v>68.243626062322946</v>
      </c>
      <c r="AM1151" s="5">
        <f t="shared" si="405"/>
        <v>0</v>
      </c>
      <c r="AN1151" s="5">
        <f t="shared" si="406"/>
        <v>68.243626062322946</v>
      </c>
      <c r="AO1151" s="1" t="s">
        <v>102</v>
      </c>
    </row>
    <row r="1152" spans="1:42" x14ac:dyDescent="0.25">
      <c r="A1152" s="1" t="s">
        <v>19</v>
      </c>
      <c r="B1152" s="1" t="s">
        <v>52</v>
      </c>
      <c r="C1152" s="1" t="s">
        <v>21</v>
      </c>
      <c r="D1152" s="1" t="s">
        <v>53</v>
      </c>
      <c r="E1152" s="1" t="s">
        <v>96</v>
      </c>
      <c r="F1152" s="1" t="s">
        <v>103</v>
      </c>
      <c r="G1152" s="1" t="s">
        <v>114</v>
      </c>
      <c r="H1152" s="1" t="s">
        <v>729</v>
      </c>
      <c r="I1152" s="1" t="s">
        <v>174</v>
      </c>
      <c r="J1152" s="1" t="s">
        <v>101</v>
      </c>
      <c r="K1152" s="1" t="s">
        <v>175</v>
      </c>
      <c r="L1152" s="1">
        <v>2882689</v>
      </c>
      <c r="M1152" s="1" t="s">
        <v>1296</v>
      </c>
      <c r="N1152" s="8">
        <f>DATE(2022,2,11)</f>
        <v>44603</v>
      </c>
      <c r="O1152" s="8">
        <f>DATE(2023,7,31)</f>
        <v>45138</v>
      </c>
      <c r="P1152" s="1">
        <v>816</v>
      </c>
      <c r="Q1152" s="1">
        <v>800</v>
      </c>
      <c r="R1152" s="1">
        <f t="shared" si="389"/>
        <v>800</v>
      </c>
      <c r="S1152" s="1">
        <v>2.5</v>
      </c>
      <c r="U1152" s="1">
        <f t="shared" si="390"/>
        <v>536</v>
      </c>
      <c r="V1152" s="7">
        <f t="shared" si="391"/>
        <v>1.4925373134328359</v>
      </c>
      <c r="W1152" s="7">
        <f t="shared" si="392"/>
        <v>544.77611940298516</v>
      </c>
      <c r="X1152" s="7">
        <f t="shared" si="393"/>
        <v>0.68097014925373145</v>
      </c>
      <c r="AA1152" s="8">
        <f t="shared" si="394"/>
        <v>44927</v>
      </c>
      <c r="AB1152" s="8">
        <f t="shared" si="395"/>
        <v>45291</v>
      </c>
      <c r="AC1152" s="1">
        <v>27</v>
      </c>
      <c r="AD1152" s="1">
        <f t="shared" si="396"/>
        <v>0</v>
      </c>
      <c r="AE1152" s="1">
        <f t="shared" si="397"/>
        <v>0</v>
      </c>
      <c r="AF1152" s="1">
        <f t="shared" si="398"/>
        <v>212</v>
      </c>
      <c r="AG1152" s="1">
        <f t="shared" si="399"/>
        <v>0</v>
      </c>
      <c r="AH1152" s="1">
        <f t="shared" si="400"/>
        <v>0</v>
      </c>
      <c r="AI1152" s="5">
        <f t="shared" si="401"/>
        <v>0.58082191780821912</v>
      </c>
      <c r="AJ1152" s="5">
        <f t="shared" si="402"/>
        <v>0.39552238805970152</v>
      </c>
      <c r="AK1152" s="5">
        <f t="shared" si="403"/>
        <v>10.679104477611942</v>
      </c>
      <c r="AL1152" s="5">
        <f t="shared" si="404"/>
        <v>26.697761194029855</v>
      </c>
      <c r="AM1152" s="5">
        <f t="shared" si="405"/>
        <v>0</v>
      </c>
      <c r="AN1152" s="5">
        <f t="shared" si="406"/>
        <v>26.697761194029855</v>
      </c>
      <c r="AO1152" s="1" t="s">
        <v>102</v>
      </c>
    </row>
    <row r="1153" spans="1:42" x14ac:dyDescent="0.25">
      <c r="A1153" s="1" t="s">
        <v>19</v>
      </c>
      <c r="B1153" s="1" t="s">
        <v>52</v>
      </c>
      <c r="C1153" s="1" t="s">
        <v>21</v>
      </c>
      <c r="D1153" s="1" t="s">
        <v>53</v>
      </c>
      <c r="E1153" s="1" t="s">
        <v>96</v>
      </c>
      <c r="F1153" s="1" t="s">
        <v>103</v>
      </c>
      <c r="G1153" s="1" t="s">
        <v>114</v>
      </c>
      <c r="H1153" s="1" t="s">
        <v>119</v>
      </c>
      <c r="I1153" s="1" t="s">
        <v>105</v>
      </c>
      <c r="J1153" s="1" t="s">
        <v>106</v>
      </c>
      <c r="K1153" s="1" t="s">
        <v>116</v>
      </c>
      <c r="L1153" s="1">
        <v>2947944</v>
      </c>
      <c r="M1153" s="1" t="s">
        <v>1297</v>
      </c>
      <c r="N1153" s="8">
        <f t="shared" ref="N1153:N1159" si="407">DATE(2023,1,30)</f>
        <v>44956</v>
      </c>
      <c r="O1153" s="8">
        <f>DATE(2025,12,29)</f>
        <v>46020</v>
      </c>
      <c r="P1153" s="1">
        <v>3882</v>
      </c>
      <c r="Q1153" s="1">
        <v>1200</v>
      </c>
      <c r="R1153" s="1">
        <f t="shared" si="389"/>
        <v>3200</v>
      </c>
      <c r="S1153" s="1">
        <v>2.5</v>
      </c>
      <c r="U1153" s="1">
        <f t="shared" si="390"/>
        <v>1065</v>
      </c>
      <c r="V1153" s="7">
        <f t="shared" si="391"/>
        <v>3.004694835680751</v>
      </c>
      <c r="W1153" s="7">
        <f t="shared" si="392"/>
        <v>1096.7136150234742</v>
      </c>
      <c r="X1153" s="7">
        <f t="shared" si="393"/>
        <v>1.3708920187793427</v>
      </c>
      <c r="AA1153" s="8">
        <f t="shared" si="394"/>
        <v>44927</v>
      </c>
      <c r="AB1153" s="8">
        <f t="shared" si="395"/>
        <v>45291</v>
      </c>
      <c r="AC1153" s="1">
        <v>191</v>
      </c>
      <c r="AD1153" s="1">
        <f t="shared" si="396"/>
        <v>0</v>
      </c>
      <c r="AE1153" s="1">
        <f t="shared" si="397"/>
        <v>336</v>
      </c>
      <c r="AF1153" s="1">
        <f t="shared" si="398"/>
        <v>0</v>
      </c>
      <c r="AG1153" s="1">
        <f t="shared" si="399"/>
        <v>0</v>
      </c>
      <c r="AH1153" s="1">
        <f t="shared" si="400"/>
        <v>0</v>
      </c>
      <c r="AI1153" s="5">
        <f t="shared" si="401"/>
        <v>0.92054794520547945</v>
      </c>
      <c r="AJ1153" s="5">
        <f t="shared" si="402"/>
        <v>1.2619718309859156</v>
      </c>
      <c r="AK1153" s="5">
        <f t="shared" si="403"/>
        <v>241.03661971830988</v>
      </c>
      <c r="AL1153" s="5">
        <f t="shared" si="404"/>
        <v>602.59154929577471</v>
      </c>
      <c r="AM1153" s="5">
        <f t="shared" si="405"/>
        <v>301.29577464788736</v>
      </c>
      <c r="AN1153" s="5">
        <f t="shared" si="406"/>
        <v>903.88732394366207</v>
      </c>
      <c r="AO1153" s="1" t="s">
        <v>102</v>
      </c>
    </row>
    <row r="1154" spans="1:42" x14ac:dyDescent="0.25">
      <c r="A1154" s="1" t="s">
        <v>19</v>
      </c>
      <c r="B1154" s="1" t="s">
        <v>52</v>
      </c>
      <c r="C1154" s="1" t="s">
        <v>21</v>
      </c>
      <c r="D1154" s="1" t="s">
        <v>53</v>
      </c>
      <c r="E1154" s="1" t="s">
        <v>96</v>
      </c>
      <c r="F1154" s="1" t="s">
        <v>103</v>
      </c>
      <c r="G1154" s="1" t="s">
        <v>98</v>
      </c>
      <c r="H1154" s="1" t="s">
        <v>104</v>
      </c>
      <c r="I1154" s="1" t="s">
        <v>105</v>
      </c>
      <c r="J1154" s="1" t="s">
        <v>106</v>
      </c>
      <c r="L1154" s="1">
        <v>2948566</v>
      </c>
      <c r="M1154" s="1" t="s">
        <v>1298</v>
      </c>
      <c r="N1154" s="8">
        <f t="shared" si="407"/>
        <v>44956</v>
      </c>
      <c r="O1154" s="8">
        <f>DATE(2027,12,29)</f>
        <v>46750</v>
      </c>
      <c r="P1154" s="1">
        <v>3780</v>
      </c>
      <c r="Q1154" s="1">
        <v>3600</v>
      </c>
      <c r="R1154" s="1">
        <f t="shared" si="389"/>
        <v>3600</v>
      </c>
      <c r="S1154" s="1">
        <v>2.5</v>
      </c>
      <c r="U1154" s="1">
        <f t="shared" si="390"/>
        <v>1795</v>
      </c>
      <c r="V1154" s="7">
        <f t="shared" si="391"/>
        <v>2.0055710306406684</v>
      </c>
      <c r="W1154" s="7">
        <f t="shared" si="392"/>
        <v>732.03342618384397</v>
      </c>
      <c r="X1154" s="7">
        <f t="shared" si="393"/>
        <v>0.91504178272980496</v>
      </c>
      <c r="AA1154" s="8">
        <f t="shared" si="394"/>
        <v>44927</v>
      </c>
      <c r="AB1154" s="8">
        <f t="shared" si="395"/>
        <v>45291</v>
      </c>
      <c r="AC1154" s="1">
        <v>37</v>
      </c>
      <c r="AD1154" s="1">
        <f t="shared" si="396"/>
        <v>0</v>
      </c>
      <c r="AE1154" s="1">
        <f t="shared" si="397"/>
        <v>336</v>
      </c>
      <c r="AF1154" s="1">
        <f t="shared" si="398"/>
        <v>0</v>
      </c>
      <c r="AG1154" s="1">
        <f t="shared" si="399"/>
        <v>0</v>
      </c>
      <c r="AH1154" s="1">
        <f t="shared" si="400"/>
        <v>0</v>
      </c>
      <c r="AI1154" s="5">
        <f t="shared" si="401"/>
        <v>0.92054794520547945</v>
      </c>
      <c r="AJ1154" s="5">
        <f t="shared" si="402"/>
        <v>0.84233983286908076</v>
      </c>
      <c r="AK1154" s="5">
        <f t="shared" si="403"/>
        <v>31.166573816155989</v>
      </c>
      <c r="AL1154" s="5">
        <f t="shared" si="404"/>
        <v>77.916434540389972</v>
      </c>
      <c r="AM1154" s="5">
        <f t="shared" si="405"/>
        <v>38.958217270194986</v>
      </c>
      <c r="AN1154" s="5">
        <f t="shared" si="406"/>
        <v>116.87465181058496</v>
      </c>
      <c r="AO1154" s="1" t="s">
        <v>102</v>
      </c>
    </row>
    <row r="1155" spans="1:42" x14ac:dyDescent="0.25">
      <c r="A1155" s="1" t="s">
        <v>19</v>
      </c>
      <c r="B1155" s="1" t="s">
        <v>52</v>
      </c>
      <c r="C1155" s="1" t="s">
        <v>21</v>
      </c>
      <c r="D1155" s="1" t="s">
        <v>53</v>
      </c>
      <c r="E1155" s="1" t="s">
        <v>96</v>
      </c>
      <c r="F1155" s="1" t="s">
        <v>103</v>
      </c>
      <c r="G1155" s="1" t="s">
        <v>320</v>
      </c>
      <c r="H1155" s="1" t="s">
        <v>491</v>
      </c>
      <c r="I1155" s="1" t="s">
        <v>174</v>
      </c>
      <c r="J1155" s="1" t="s">
        <v>101</v>
      </c>
      <c r="L1155" s="1">
        <v>2951928</v>
      </c>
      <c r="M1155" s="1" t="s">
        <v>1299</v>
      </c>
      <c r="N1155" s="8">
        <f t="shared" si="407"/>
        <v>44956</v>
      </c>
      <c r="O1155" s="8">
        <f>DATE(2026,12,31)</f>
        <v>46387</v>
      </c>
      <c r="P1155" s="1">
        <v>3205</v>
      </c>
      <c r="Q1155" s="1">
        <v>3200</v>
      </c>
      <c r="R1155" s="1">
        <f t="shared" si="389"/>
        <v>3200</v>
      </c>
      <c r="S1155" s="1">
        <v>2.5</v>
      </c>
      <c r="U1155" s="1">
        <f t="shared" si="390"/>
        <v>1432</v>
      </c>
      <c r="V1155" s="7">
        <f t="shared" si="391"/>
        <v>2.2346368715083798</v>
      </c>
      <c r="W1155" s="7">
        <f t="shared" si="392"/>
        <v>815.64245810055866</v>
      </c>
      <c r="X1155" s="7">
        <f t="shared" si="393"/>
        <v>1.0195530726256983</v>
      </c>
      <c r="AA1155" s="8">
        <f t="shared" si="394"/>
        <v>44927</v>
      </c>
      <c r="AB1155" s="8">
        <f t="shared" si="395"/>
        <v>45291</v>
      </c>
      <c r="AC1155" s="1">
        <v>35</v>
      </c>
      <c r="AD1155" s="1">
        <f t="shared" si="396"/>
        <v>0</v>
      </c>
      <c r="AE1155" s="1">
        <f t="shared" si="397"/>
        <v>336</v>
      </c>
      <c r="AF1155" s="1">
        <f t="shared" si="398"/>
        <v>0</v>
      </c>
      <c r="AG1155" s="1">
        <f t="shared" si="399"/>
        <v>0</v>
      </c>
      <c r="AH1155" s="1">
        <f t="shared" si="400"/>
        <v>0</v>
      </c>
      <c r="AI1155" s="5">
        <f t="shared" si="401"/>
        <v>0.92054794520547945</v>
      </c>
      <c r="AJ1155" s="5">
        <f t="shared" si="402"/>
        <v>0.93854748603351945</v>
      </c>
      <c r="AK1155" s="5">
        <f t="shared" si="403"/>
        <v>32.849162011173178</v>
      </c>
      <c r="AL1155" s="5">
        <f t="shared" si="404"/>
        <v>82.122905027932944</v>
      </c>
      <c r="AM1155" s="5">
        <f t="shared" si="405"/>
        <v>0</v>
      </c>
      <c r="AN1155" s="5">
        <f t="shared" si="406"/>
        <v>82.122905027932944</v>
      </c>
      <c r="AO1155" s="1" t="s">
        <v>102</v>
      </c>
    </row>
    <row r="1156" spans="1:42" x14ac:dyDescent="0.25">
      <c r="A1156" s="1" t="s">
        <v>19</v>
      </c>
      <c r="B1156" s="1" t="s">
        <v>52</v>
      </c>
      <c r="C1156" s="1" t="s">
        <v>21</v>
      </c>
      <c r="D1156" s="1" t="s">
        <v>53</v>
      </c>
      <c r="E1156" s="1" t="s">
        <v>96</v>
      </c>
      <c r="F1156" s="1" t="s">
        <v>103</v>
      </c>
      <c r="G1156" s="1" t="s">
        <v>114</v>
      </c>
      <c r="H1156" s="1" t="s">
        <v>894</v>
      </c>
      <c r="I1156" s="1" t="s">
        <v>157</v>
      </c>
      <c r="J1156" s="1" t="s">
        <v>101</v>
      </c>
      <c r="K1156" s="1" t="s">
        <v>116</v>
      </c>
      <c r="L1156" s="1">
        <v>2952368</v>
      </c>
      <c r="M1156" s="1" t="s">
        <v>1300</v>
      </c>
      <c r="N1156" s="8">
        <f t="shared" si="407"/>
        <v>44956</v>
      </c>
      <c r="O1156" s="8">
        <f>DATE(2025,12,31)</f>
        <v>46022</v>
      </c>
      <c r="P1156" s="1">
        <v>3672</v>
      </c>
      <c r="Q1156" s="1">
        <v>1200</v>
      </c>
      <c r="R1156" s="1">
        <f t="shared" si="389"/>
        <v>3200</v>
      </c>
      <c r="S1156" s="1">
        <v>1.5</v>
      </c>
      <c r="U1156" s="1">
        <f t="shared" si="390"/>
        <v>1067</v>
      </c>
      <c r="V1156" s="7">
        <f t="shared" si="391"/>
        <v>2.999062792877226</v>
      </c>
      <c r="W1156" s="7">
        <f t="shared" si="392"/>
        <v>1094.6579194001874</v>
      </c>
      <c r="X1156" s="7">
        <f t="shared" si="393"/>
        <v>1.3683223992502342</v>
      </c>
      <c r="AA1156" s="8">
        <f t="shared" si="394"/>
        <v>44927</v>
      </c>
      <c r="AB1156" s="8">
        <f t="shared" si="395"/>
        <v>45291</v>
      </c>
      <c r="AC1156" s="1">
        <v>71</v>
      </c>
      <c r="AD1156" s="1">
        <f t="shared" si="396"/>
        <v>0</v>
      </c>
      <c r="AE1156" s="1">
        <f t="shared" si="397"/>
        <v>336</v>
      </c>
      <c r="AF1156" s="1">
        <f t="shared" si="398"/>
        <v>0</v>
      </c>
      <c r="AG1156" s="1">
        <f t="shared" si="399"/>
        <v>0</v>
      </c>
      <c r="AH1156" s="1">
        <f t="shared" si="400"/>
        <v>0</v>
      </c>
      <c r="AI1156" s="5">
        <f t="shared" si="401"/>
        <v>0.92054794520547945</v>
      </c>
      <c r="AJ1156" s="5">
        <f t="shared" si="402"/>
        <v>1.2596063730084348</v>
      </c>
      <c r="AK1156" s="5">
        <f t="shared" si="403"/>
        <v>89.432052483598866</v>
      </c>
      <c r="AL1156" s="5">
        <f t="shared" si="404"/>
        <v>134.14807872539831</v>
      </c>
      <c r="AM1156" s="5">
        <f t="shared" si="405"/>
        <v>0</v>
      </c>
      <c r="AN1156" s="5">
        <f t="shared" si="406"/>
        <v>134.14807872539831</v>
      </c>
      <c r="AO1156" s="1" t="s">
        <v>102</v>
      </c>
    </row>
    <row r="1157" spans="1:42" x14ac:dyDescent="0.25">
      <c r="A1157" s="45" t="s">
        <v>19</v>
      </c>
      <c r="B1157" s="45" t="s">
        <v>52</v>
      </c>
      <c r="C1157" s="45" t="s">
        <v>21</v>
      </c>
      <c r="D1157" s="45" t="s">
        <v>53</v>
      </c>
      <c r="E1157" s="45" t="s">
        <v>96</v>
      </c>
      <c r="F1157" s="45" t="s">
        <v>103</v>
      </c>
      <c r="G1157" s="45" t="s">
        <v>98</v>
      </c>
      <c r="H1157" s="45" t="s">
        <v>355</v>
      </c>
      <c r="I1157" s="45" t="s">
        <v>105</v>
      </c>
      <c r="J1157" s="45" t="s">
        <v>106</v>
      </c>
      <c r="K1157" s="45"/>
      <c r="L1157" s="45">
        <v>2953038</v>
      </c>
      <c r="M1157" s="45" t="s">
        <v>1301</v>
      </c>
      <c r="N1157" s="46">
        <f t="shared" si="407"/>
        <v>44956</v>
      </c>
      <c r="O1157" s="46">
        <f>DATE(2027,7,30)</f>
        <v>46598</v>
      </c>
      <c r="P1157" s="45">
        <v>3784</v>
      </c>
      <c r="Q1157" s="45">
        <v>3600</v>
      </c>
      <c r="R1157" s="45">
        <f t="shared" si="389"/>
        <v>3600</v>
      </c>
      <c r="S1157" s="45">
        <v>2.5</v>
      </c>
      <c r="T1157" s="45"/>
      <c r="U1157" s="45">
        <f t="shared" si="390"/>
        <v>1643</v>
      </c>
      <c r="V1157" s="47">
        <f t="shared" si="391"/>
        <v>2.1911138161898966</v>
      </c>
      <c r="W1157" s="47">
        <f t="shared" si="392"/>
        <v>799.75654290931232</v>
      </c>
      <c r="X1157" s="47">
        <f t="shared" si="393"/>
        <v>0.99969567863664044</v>
      </c>
      <c r="Y1157" s="47"/>
      <c r="Z1157" s="47"/>
      <c r="AA1157" s="46">
        <f t="shared" si="394"/>
        <v>44927</v>
      </c>
      <c r="AB1157" s="46">
        <f t="shared" si="395"/>
        <v>45291</v>
      </c>
      <c r="AC1157" s="45">
        <v>36</v>
      </c>
      <c r="AD1157" s="45">
        <f t="shared" si="396"/>
        <v>0</v>
      </c>
      <c r="AE1157" s="45">
        <f t="shared" si="397"/>
        <v>336</v>
      </c>
      <c r="AF1157" s="45">
        <f t="shared" si="398"/>
        <v>0</v>
      </c>
      <c r="AG1157" s="45">
        <f t="shared" si="399"/>
        <v>0</v>
      </c>
      <c r="AH1157" s="45">
        <f t="shared" si="400"/>
        <v>0</v>
      </c>
      <c r="AI1157" s="48">
        <f t="shared" si="401"/>
        <v>0.92054794520547945</v>
      </c>
      <c r="AJ1157" s="48">
        <f t="shared" si="402"/>
        <v>0.92026780279975662</v>
      </c>
      <c r="AK1157" s="48">
        <f t="shared" si="403"/>
        <v>33.129640900791237</v>
      </c>
      <c r="AL1157" s="48">
        <f t="shared" si="404"/>
        <v>82.82410225197809</v>
      </c>
      <c r="AM1157" s="48">
        <f t="shared" si="405"/>
        <v>41.412051125989045</v>
      </c>
      <c r="AN1157" s="48">
        <f t="shared" si="406"/>
        <v>124.23615337796713</v>
      </c>
      <c r="AO1157" s="45" t="s">
        <v>102</v>
      </c>
      <c r="AP1157" s="45"/>
    </row>
    <row r="1158" spans="1:42" x14ac:dyDescent="0.25">
      <c r="A1158" s="45" t="s">
        <v>19</v>
      </c>
      <c r="B1158" s="45" t="s">
        <v>52</v>
      </c>
      <c r="C1158" s="45" t="s">
        <v>21</v>
      </c>
      <c r="D1158" s="45" t="s">
        <v>53</v>
      </c>
      <c r="E1158" s="45" t="s">
        <v>96</v>
      </c>
      <c r="F1158" s="45" t="s">
        <v>103</v>
      </c>
      <c r="G1158" s="45" t="s">
        <v>98</v>
      </c>
      <c r="H1158" s="45" t="s">
        <v>355</v>
      </c>
      <c r="I1158" s="45" t="s">
        <v>105</v>
      </c>
      <c r="J1158" s="45" t="s">
        <v>106</v>
      </c>
      <c r="K1158" s="45"/>
      <c r="L1158" s="45">
        <v>2953044</v>
      </c>
      <c r="M1158" s="45" t="s">
        <v>1302</v>
      </c>
      <c r="N1158" s="46">
        <f t="shared" si="407"/>
        <v>44956</v>
      </c>
      <c r="O1158" s="46">
        <f>DATE(2027,12,29)</f>
        <v>46750</v>
      </c>
      <c r="P1158" s="45">
        <v>3788</v>
      </c>
      <c r="Q1158" s="45">
        <v>3600</v>
      </c>
      <c r="R1158" s="45">
        <f t="shared" si="389"/>
        <v>3600</v>
      </c>
      <c r="S1158" s="45">
        <v>2.5</v>
      </c>
      <c r="T1158" s="45"/>
      <c r="U1158" s="45">
        <f t="shared" si="390"/>
        <v>1795</v>
      </c>
      <c r="V1158" s="47">
        <f t="shared" si="391"/>
        <v>2.0055710306406684</v>
      </c>
      <c r="W1158" s="47">
        <f t="shared" si="392"/>
        <v>732.03342618384397</v>
      </c>
      <c r="X1158" s="47">
        <f t="shared" si="393"/>
        <v>0.91504178272980496</v>
      </c>
      <c r="Y1158" s="47"/>
      <c r="Z1158" s="47"/>
      <c r="AA1158" s="46">
        <f t="shared" si="394"/>
        <v>44927</v>
      </c>
      <c r="AB1158" s="46">
        <f t="shared" si="395"/>
        <v>45291</v>
      </c>
      <c r="AC1158" s="45">
        <v>38</v>
      </c>
      <c r="AD1158" s="45">
        <f t="shared" si="396"/>
        <v>0</v>
      </c>
      <c r="AE1158" s="45">
        <f t="shared" si="397"/>
        <v>336</v>
      </c>
      <c r="AF1158" s="45">
        <f t="shared" si="398"/>
        <v>0</v>
      </c>
      <c r="AG1158" s="45">
        <f t="shared" si="399"/>
        <v>0</v>
      </c>
      <c r="AH1158" s="45">
        <f t="shared" si="400"/>
        <v>0</v>
      </c>
      <c r="AI1158" s="48">
        <f t="shared" si="401"/>
        <v>0.92054794520547945</v>
      </c>
      <c r="AJ1158" s="48">
        <f t="shared" si="402"/>
        <v>0.84233983286908076</v>
      </c>
      <c r="AK1158" s="48">
        <f t="shared" si="403"/>
        <v>32.008913649025068</v>
      </c>
      <c r="AL1158" s="48">
        <f t="shared" si="404"/>
        <v>80.022284122562667</v>
      </c>
      <c r="AM1158" s="48">
        <f t="shared" si="405"/>
        <v>40.011142061281333</v>
      </c>
      <c r="AN1158" s="48">
        <f t="shared" si="406"/>
        <v>120.033426183844</v>
      </c>
      <c r="AO1158" s="45" t="s">
        <v>102</v>
      </c>
      <c r="AP1158" s="45"/>
    </row>
    <row r="1159" spans="1:42" x14ac:dyDescent="0.25">
      <c r="A1159" s="45" t="s">
        <v>19</v>
      </c>
      <c r="B1159" s="45" t="s">
        <v>52</v>
      </c>
      <c r="C1159" s="45" t="s">
        <v>21</v>
      </c>
      <c r="D1159" s="45" t="s">
        <v>53</v>
      </c>
      <c r="E1159" s="45" t="s">
        <v>96</v>
      </c>
      <c r="F1159" s="45" t="s">
        <v>103</v>
      </c>
      <c r="G1159" s="45" t="s">
        <v>127</v>
      </c>
      <c r="H1159" s="45" t="s">
        <v>1143</v>
      </c>
      <c r="I1159" s="45" t="s">
        <v>162</v>
      </c>
      <c r="J1159" s="45" t="s">
        <v>101</v>
      </c>
      <c r="K1159" s="45"/>
      <c r="L1159" s="45">
        <v>2953049</v>
      </c>
      <c r="M1159" s="45" t="s">
        <v>1303</v>
      </c>
      <c r="N1159" s="46">
        <f t="shared" si="407"/>
        <v>44956</v>
      </c>
      <c r="O1159" s="46">
        <f>DATE(2025,12,29)</f>
        <v>46020</v>
      </c>
      <c r="P1159" s="45">
        <v>2210</v>
      </c>
      <c r="Q1159" s="45">
        <v>2000</v>
      </c>
      <c r="R1159" s="45">
        <f t="shared" si="389"/>
        <v>2000</v>
      </c>
      <c r="S1159" s="45">
        <v>1.5</v>
      </c>
      <c r="T1159" s="45"/>
      <c r="U1159" s="45">
        <f t="shared" si="390"/>
        <v>1065</v>
      </c>
      <c r="V1159" s="47">
        <f t="shared" si="391"/>
        <v>1.8779342723004695</v>
      </c>
      <c r="W1159" s="47">
        <f t="shared" si="392"/>
        <v>685.44600938967142</v>
      </c>
      <c r="X1159" s="47">
        <f t="shared" si="393"/>
        <v>0.85680751173708924</v>
      </c>
      <c r="Y1159" s="47"/>
      <c r="Z1159" s="47"/>
      <c r="AA1159" s="46">
        <f t="shared" si="394"/>
        <v>44927</v>
      </c>
      <c r="AB1159" s="46">
        <f t="shared" si="395"/>
        <v>45291</v>
      </c>
      <c r="AC1159" s="45">
        <v>34</v>
      </c>
      <c r="AD1159" s="45">
        <f t="shared" si="396"/>
        <v>0</v>
      </c>
      <c r="AE1159" s="45">
        <f t="shared" si="397"/>
        <v>336</v>
      </c>
      <c r="AF1159" s="45">
        <f t="shared" si="398"/>
        <v>0</v>
      </c>
      <c r="AG1159" s="45">
        <f t="shared" si="399"/>
        <v>0</v>
      </c>
      <c r="AH1159" s="45">
        <f t="shared" si="400"/>
        <v>0</v>
      </c>
      <c r="AI1159" s="48">
        <f t="shared" si="401"/>
        <v>0.92054794520547945</v>
      </c>
      <c r="AJ1159" s="48">
        <f t="shared" si="402"/>
        <v>0.78873239436619724</v>
      </c>
      <c r="AK1159" s="48">
        <f t="shared" si="403"/>
        <v>26.816901408450708</v>
      </c>
      <c r="AL1159" s="48">
        <f t="shared" si="404"/>
        <v>40.225352112676063</v>
      </c>
      <c r="AM1159" s="48">
        <f t="shared" si="405"/>
        <v>0</v>
      </c>
      <c r="AN1159" s="48">
        <f t="shared" si="406"/>
        <v>40.225352112676063</v>
      </c>
      <c r="AO1159" s="45" t="s">
        <v>102</v>
      </c>
      <c r="AP1159" s="45"/>
    </row>
    <row r="1160" spans="1:42" x14ac:dyDescent="0.25">
      <c r="A1160" s="1" t="s">
        <v>19</v>
      </c>
      <c r="B1160" s="1" t="s">
        <v>52</v>
      </c>
      <c r="C1160" s="1" t="s">
        <v>21</v>
      </c>
      <c r="D1160" s="1" t="s">
        <v>53</v>
      </c>
      <c r="E1160" s="1" t="s">
        <v>96</v>
      </c>
      <c r="F1160" s="1" t="s">
        <v>103</v>
      </c>
      <c r="G1160" s="1" t="s">
        <v>114</v>
      </c>
      <c r="H1160" s="1" t="s">
        <v>729</v>
      </c>
      <c r="I1160" s="1" t="s">
        <v>174</v>
      </c>
      <c r="J1160" s="1" t="s">
        <v>101</v>
      </c>
      <c r="K1160" s="1" t="s">
        <v>175</v>
      </c>
      <c r="L1160" s="1">
        <v>2953177</v>
      </c>
      <c r="M1160" s="1" t="s">
        <v>1304</v>
      </c>
      <c r="N1160" s="8">
        <f>DATE(2023,2,3)</f>
        <v>44960</v>
      </c>
      <c r="O1160" s="8">
        <f>DATE(2024,6,30)</f>
        <v>45473</v>
      </c>
      <c r="P1160" s="1">
        <v>816</v>
      </c>
      <c r="Q1160" s="1">
        <v>800</v>
      </c>
      <c r="R1160" s="1">
        <f t="shared" si="389"/>
        <v>800</v>
      </c>
      <c r="S1160" s="1">
        <v>2.5</v>
      </c>
      <c r="U1160" s="1">
        <f t="shared" si="390"/>
        <v>514</v>
      </c>
      <c r="V1160" s="7">
        <f t="shared" si="391"/>
        <v>1.556420233463035</v>
      </c>
      <c r="W1160" s="7">
        <f t="shared" si="392"/>
        <v>568.09338521400775</v>
      </c>
      <c r="X1160" s="7">
        <f t="shared" si="393"/>
        <v>0.71011673151750965</v>
      </c>
      <c r="AA1160" s="8">
        <f t="shared" si="394"/>
        <v>44927</v>
      </c>
      <c r="AB1160" s="8">
        <f t="shared" si="395"/>
        <v>45291</v>
      </c>
      <c r="AC1160" s="1">
        <v>36</v>
      </c>
      <c r="AD1160" s="1">
        <f t="shared" si="396"/>
        <v>0</v>
      </c>
      <c r="AE1160" s="1">
        <f t="shared" si="397"/>
        <v>332</v>
      </c>
      <c r="AF1160" s="1">
        <f t="shared" si="398"/>
        <v>0</v>
      </c>
      <c r="AG1160" s="1">
        <f t="shared" si="399"/>
        <v>0</v>
      </c>
      <c r="AH1160" s="1">
        <f t="shared" si="400"/>
        <v>0</v>
      </c>
      <c r="AI1160" s="5">
        <f t="shared" si="401"/>
        <v>0.90958904109589045</v>
      </c>
      <c r="AJ1160" s="5">
        <f t="shared" si="402"/>
        <v>0.64591439688715946</v>
      </c>
      <c r="AK1160" s="5">
        <f t="shared" si="403"/>
        <v>23.252918287937739</v>
      </c>
      <c r="AL1160" s="5">
        <f t="shared" si="404"/>
        <v>58.13229571984435</v>
      </c>
      <c r="AM1160" s="5">
        <f t="shared" si="405"/>
        <v>0</v>
      </c>
      <c r="AN1160" s="5">
        <f t="shared" si="406"/>
        <v>58.13229571984435</v>
      </c>
      <c r="AO1160" s="1" t="s">
        <v>102</v>
      </c>
    </row>
    <row r="1161" spans="1:42" x14ac:dyDescent="0.25">
      <c r="A1161" s="1" t="s">
        <v>19</v>
      </c>
      <c r="B1161" s="1" t="s">
        <v>52</v>
      </c>
      <c r="C1161" s="1" t="s">
        <v>21</v>
      </c>
      <c r="D1161" s="1" t="s">
        <v>53</v>
      </c>
      <c r="E1161" s="1" t="s">
        <v>96</v>
      </c>
      <c r="F1161" s="1" t="s">
        <v>103</v>
      </c>
      <c r="G1161" s="1" t="s">
        <v>114</v>
      </c>
      <c r="H1161" s="1" t="s">
        <v>247</v>
      </c>
      <c r="I1161" s="1" t="s">
        <v>162</v>
      </c>
      <c r="J1161" s="1" t="s">
        <v>101</v>
      </c>
      <c r="K1161" s="1" t="s">
        <v>116</v>
      </c>
      <c r="L1161" s="1">
        <v>2965848</v>
      </c>
      <c r="M1161" s="1" t="s">
        <v>1305</v>
      </c>
      <c r="N1161" s="8">
        <f>DATE(2023,2,8)</f>
        <v>44965</v>
      </c>
      <c r="O1161" s="8">
        <f>DATE(2025,12,26)</f>
        <v>46017</v>
      </c>
      <c r="P1161" s="1">
        <v>3150</v>
      </c>
      <c r="Q1161" s="1">
        <v>1200</v>
      </c>
      <c r="R1161" s="1">
        <f t="shared" si="389"/>
        <v>3200</v>
      </c>
      <c r="S1161" s="1">
        <v>1.5</v>
      </c>
      <c r="U1161" s="1">
        <f t="shared" si="390"/>
        <v>1053</v>
      </c>
      <c r="V1161" s="7">
        <f t="shared" si="391"/>
        <v>2.9914529914529915</v>
      </c>
      <c r="W1161" s="7">
        <f t="shared" si="392"/>
        <v>1091.8803418803418</v>
      </c>
      <c r="X1161" s="7">
        <f t="shared" si="393"/>
        <v>1.3648504273504272</v>
      </c>
      <c r="AA1161" s="8">
        <f t="shared" si="394"/>
        <v>44927</v>
      </c>
      <c r="AB1161" s="8">
        <f t="shared" si="395"/>
        <v>45291</v>
      </c>
      <c r="AC1161" s="1">
        <v>39</v>
      </c>
      <c r="AD1161" s="1">
        <f t="shared" si="396"/>
        <v>0</v>
      </c>
      <c r="AE1161" s="1">
        <f t="shared" si="397"/>
        <v>327</v>
      </c>
      <c r="AF1161" s="1">
        <f t="shared" si="398"/>
        <v>0</v>
      </c>
      <c r="AG1161" s="1">
        <f t="shared" si="399"/>
        <v>0</v>
      </c>
      <c r="AH1161" s="1">
        <f t="shared" si="400"/>
        <v>0</v>
      </c>
      <c r="AI1161" s="5">
        <f t="shared" si="401"/>
        <v>0.89589041095890409</v>
      </c>
      <c r="AJ1161" s="5">
        <f t="shared" si="402"/>
        <v>1.2227564102564101</v>
      </c>
      <c r="AK1161" s="5">
        <f t="shared" si="403"/>
        <v>47.687499999999993</v>
      </c>
      <c r="AL1161" s="5">
        <f t="shared" si="404"/>
        <v>71.531249999999986</v>
      </c>
      <c r="AM1161" s="5">
        <f t="shared" si="405"/>
        <v>0</v>
      </c>
      <c r="AN1161" s="5">
        <f t="shared" si="406"/>
        <v>71.531249999999986</v>
      </c>
      <c r="AO1161" s="1" t="s">
        <v>102</v>
      </c>
    </row>
    <row r="1162" spans="1:42" x14ac:dyDescent="0.25">
      <c r="A1162" s="1" t="s">
        <v>19</v>
      </c>
      <c r="B1162" s="1" t="s">
        <v>52</v>
      </c>
      <c r="C1162" s="1" t="s">
        <v>21</v>
      </c>
      <c r="D1162" s="1" t="s">
        <v>53</v>
      </c>
      <c r="E1162" s="1" t="s">
        <v>172</v>
      </c>
      <c r="F1162" s="1" t="s">
        <v>97</v>
      </c>
      <c r="G1162" s="1" t="s">
        <v>114</v>
      </c>
      <c r="H1162" s="1" t="s">
        <v>173</v>
      </c>
      <c r="I1162" s="1" t="s">
        <v>174</v>
      </c>
      <c r="J1162" s="1" t="s">
        <v>101</v>
      </c>
      <c r="K1162" s="1" t="s">
        <v>175</v>
      </c>
      <c r="L1162" s="1">
        <v>2976350</v>
      </c>
      <c r="M1162" s="1" t="s">
        <v>1138</v>
      </c>
      <c r="N1162" s="8">
        <f>DATE(2023,4,1)</f>
        <v>45017</v>
      </c>
      <c r="O1162" s="8">
        <f>DATE(2024,10,31)</f>
        <v>45596</v>
      </c>
      <c r="P1162" s="1">
        <v>1200</v>
      </c>
      <c r="Q1162" s="1">
        <v>1200</v>
      </c>
      <c r="R1162" s="1">
        <f t="shared" si="389"/>
        <v>1200</v>
      </c>
      <c r="S1162" s="1">
        <v>2</v>
      </c>
      <c r="U1162" s="1">
        <f t="shared" si="390"/>
        <v>580</v>
      </c>
      <c r="V1162" s="7">
        <f t="shared" si="391"/>
        <v>2.0689655172413794</v>
      </c>
      <c r="W1162" s="7">
        <f t="shared" si="392"/>
        <v>755.17241379310349</v>
      </c>
      <c r="X1162" s="7">
        <f t="shared" si="393"/>
        <v>0.94396551724137934</v>
      </c>
      <c r="AA1162" s="8">
        <f t="shared" si="394"/>
        <v>44927</v>
      </c>
      <c r="AB1162" s="8">
        <f t="shared" si="395"/>
        <v>45291</v>
      </c>
      <c r="AC1162" s="1">
        <v>13</v>
      </c>
      <c r="AD1162" s="1">
        <f t="shared" si="396"/>
        <v>0</v>
      </c>
      <c r="AE1162" s="1">
        <f t="shared" si="397"/>
        <v>275</v>
      </c>
      <c r="AF1162" s="1">
        <f t="shared" si="398"/>
        <v>0</v>
      </c>
      <c r="AG1162" s="1">
        <f t="shared" si="399"/>
        <v>0</v>
      </c>
      <c r="AH1162" s="1">
        <f t="shared" si="400"/>
        <v>0</v>
      </c>
      <c r="AI1162" s="5">
        <f t="shared" si="401"/>
        <v>0.75342465753424659</v>
      </c>
      <c r="AJ1162" s="5">
        <f t="shared" si="402"/>
        <v>0.7112068965517242</v>
      </c>
      <c r="AK1162" s="5">
        <f t="shared" si="403"/>
        <v>9.2456896551724146</v>
      </c>
      <c r="AL1162" s="5">
        <f t="shared" si="404"/>
        <v>18.491379310344829</v>
      </c>
      <c r="AM1162" s="5">
        <f t="shared" si="405"/>
        <v>0</v>
      </c>
      <c r="AN1162" s="5">
        <f t="shared" si="406"/>
        <v>18.491379310344829</v>
      </c>
      <c r="AO1162" s="1" t="s">
        <v>111</v>
      </c>
    </row>
    <row r="1163" spans="1:42" x14ac:dyDescent="0.25">
      <c r="A1163" s="1" t="s">
        <v>19</v>
      </c>
      <c r="B1163" s="1" t="s">
        <v>52</v>
      </c>
      <c r="C1163" s="1" t="s">
        <v>21</v>
      </c>
      <c r="D1163" s="1" t="s">
        <v>53</v>
      </c>
      <c r="E1163" s="1" t="s">
        <v>172</v>
      </c>
      <c r="F1163" s="1" t="s">
        <v>97</v>
      </c>
      <c r="G1163" s="1" t="s">
        <v>114</v>
      </c>
      <c r="H1163" s="1" t="s">
        <v>177</v>
      </c>
      <c r="I1163" s="1" t="s">
        <v>174</v>
      </c>
      <c r="J1163" s="1" t="s">
        <v>101</v>
      </c>
      <c r="K1163" s="1" t="s">
        <v>175</v>
      </c>
      <c r="L1163" s="1">
        <v>2976417</v>
      </c>
      <c r="M1163" s="1" t="s">
        <v>1137</v>
      </c>
      <c r="N1163" s="8">
        <f>DATE(2023,4,1)</f>
        <v>45017</v>
      </c>
      <c r="O1163" s="8">
        <f>DATE(2024,10,31)</f>
        <v>45596</v>
      </c>
      <c r="P1163" s="1">
        <v>1200</v>
      </c>
      <c r="Q1163" s="1">
        <v>1200</v>
      </c>
      <c r="R1163" s="1">
        <f t="shared" si="389"/>
        <v>1200</v>
      </c>
      <c r="S1163" s="1">
        <v>1</v>
      </c>
      <c r="U1163" s="1">
        <f t="shared" si="390"/>
        <v>580</v>
      </c>
      <c r="V1163" s="7">
        <f t="shared" si="391"/>
        <v>2.0689655172413794</v>
      </c>
      <c r="W1163" s="7">
        <f t="shared" si="392"/>
        <v>755.17241379310349</v>
      </c>
      <c r="X1163" s="7">
        <f t="shared" si="393"/>
        <v>0.94396551724137934</v>
      </c>
      <c r="AA1163" s="8">
        <f t="shared" si="394"/>
        <v>44927</v>
      </c>
      <c r="AB1163" s="8">
        <f t="shared" si="395"/>
        <v>45291</v>
      </c>
      <c r="AC1163" s="1">
        <v>22</v>
      </c>
      <c r="AD1163" s="1">
        <f t="shared" si="396"/>
        <v>0</v>
      </c>
      <c r="AE1163" s="1">
        <f t="shared" si="397"/>
        <v>275</v>
      </c>
      <c r="AF1163" s="1">
        <f t="shared" si="398"/>
        <v>0</v>
      </c>
      <c r="AG1163" s="1">
        <f t="shared" si="399"/>
        <v>0</v>
      </c>
      <c r="AH1163" s="1">
        <f t="shared" si="400"/>
        <v>0</v>
      </c>
      <c r="AI1163" s="5">
        <f t="shared" si="401"/>
        <v>0.75342465753424659</v>
      </c>
      <c r="AJ1163" s="5">
        <f t="shared" si="402"/>
        <v>0.7112068965517242</v>
      </c>
      <c r="AK1163" s="5">
        <f t="shared" si="403"/>
        <v>15.646551724137932</v>
      </c>
      <c r="AL1163" s="5">
        <f t="shared" si="404"/>
        <v>15.646551724137932</v>
      </c>
      <c r="AM1163" s="5">
        <f t="shared" si="405"/>
        <v>0</v>
      </c>
      <c r="AN1163" s="5">
        <f t="shared" si="406"/>
        <v>15.646551724137932</v>
      </c>
      <c r="AO1163" s="1" t="s">
        <v>111</v>
      </c>
    </row>
    <row r="1164" spans="1:42" x14ac:dyDescent="0.25">
      <c r="A1164" s="1" t="s">
        <v>19</v>
      </c>
      <c r="B1164" s="1" t="s">
        <v>52</v>
      </c>
      <c r="C1164" s="1" t="s">
        <v>21</v>
      </c>
      <c r="D1164" s="1" t="s">
        <v>53</v>
      </c>
      <c r="E1164" s="1" t="s">
        <v>172</v>
      </c>
      <c r="F1164" s="1" t="s">
        <v>97</v>
      </c>
      <c r="G1164" s="1" t="s">
        <v>114</v>
      </c>
      <c r="H1164" s="1" t="s">
        <v>179</v>
      </c>
      <c r="I1164" s="1" t="s">
        <v>174</v>
      </c>
      <c r="J1164" s="1" t="s">
        <v>101</v>
      </c>
      <c r="K1164" s="1" t="s">
        <v>175</v>
      </c>
      <c r="L1164" s="1">
        <v>2976467</v>
      </c>
      <c r="M1164" s="1" t="s">
        <v>1139</v>
      </c>
      <c r="N1164" s="8">
        <f>DATE(2023,4,1)</f>
        <v>45017</v>
      </c>
      <c r="O1164" s="8">
        <f>DATE(2024,10,31)</f>
        <v>45596</v>
      </c>
      <c r="P1164" s="1">
        <v>1200</v>
      </c>
      <c r="Q1164" s="1">
        <v>800</v>
      </c>
      <c r="R1164" s="1">
        <f t="shared" si="389"/>
        <v>800</v>
      </c>
      <c r="S1164" s="1">
        <v>1.5</v>
      </c>
      <c r="U1164" s="1">
        <f t="shared" si="390"/>
        <v>580</v>
      </c>
      <c r="V1164" s="7">
        <f t="shared" si="391"/>
        <v>1.3793103448275863</v>
      </c>
      <c r="W1164" s="7">
        <f t="shared" si="392"/>
        <v>503.44827586206901</v>
      </c>
      <c r="X1164" s="7">
        <f t="shared" si="393"/>
        <v>0.6293103448275863</v>
      </c>
      <c r="AA1164" s="8">
        <f t="shared" si="394"/>
        <v>44927</v>
      </c>
      <c r="AB1164" s="8">
        <f t="shared" si="395"/>
        <v>45291</v>
      </c>
      <c r="AC1164" s="1">
        <v>10</v>
      </c>
      <c r="AD1164" s="1">
        <f t="shared" si="396"/>
        <v>0</v>
      </c>
      <c r="AE1164" s="1">
        <f t="shared" si="397"/>
        <v>275</v>
      </c>
      <c r="AF1164" s="1">
        <f t="shared" si="398"/>
        <v>0</v>
      </c>
      <c r="AG1164" s="1">
        <f t="shared" si="399"/>
        <v>0</v>
      </c>
      <c r="AH1164" s="1">
        <f t="shared" si="400"/>
        <v>0</v>
      </c>
      <c r="AI1164" s="5">
        <f t="shared" si="401"/>
        <v>0.75342465753424659</v>
      </c>
      <c r="AJ1164" s="5">
        <f t="shared" si="402"/>
        <v>0.47413793103448282</v>
      </c>
      <c r="AK1164" s="5">
        <f t="shared" si="403"/>
        <v>4.7413793103448283</v>
      </c>
      <c r="AL1164" s="5">
        <f t="shared" si="404"/>
        <v>7.112068965517242</v>
      </c>
      <c r="AM1164" s="5">
        <f t="shared" si="405"/>
        <v>0</v>
      </c>
      <c r="AN1164" s="5">
        <f t="shared" si="406"/>
        <v>7.112068965517242</v>
      </c>
      <c r="AO1164" s="1" t="s">
        <v>111</v>
      </c>
    </row>
    <row r="1165" spans="1:42" x14ac:dyDescent="0.25">
      <c r="A1165" s="1" t="s">
        <v>19</v>
      </c>
      <c r="B1165" s="1" t="s">
        <v>52</v>
      </c>
      <c r="C1165" s="1" t="s">
        <v>21</v>
      </c>
      <c r="D1165" s="1" t="s">
        <v>53</v>
      </c>
      <c r="E1165" s="1" t="s">
        <v>96</v>
      </c>
      <c r="F1165" s="1" t="s">
        <v>1306</v>
      </c>
      <c r="G1165" s="1" t="s">
        <v>114</v>
      </c>
      <c r="H1165" s="1" t="s">
        <v>729</v>
      </c>
      <c r="I1165" s="1" t="s">
        <v>174</v>
      </c>
      <c r="J1165" s="1" t="s">
        <v>101</v>
      </c>
      <c r="K1165" s="1" t="s">
        <v>163</v>
      </c>
      <c r="L1165" s="1">
        <v>3065427</v>
      </c>
      <c r="M1165" s="1" t="s">
        <v>1307</v>
      </c>
      <c r="N1165" s="8">
        <f>DATE(2023,12,1)</f>
        <v>45261</v>
      </c>
      <c r="O1165" s="8">
        <f>DATE(2025,12,31)</f>
        <v>46022</v>
      </c>
      <c r="P1165" s="1">
        <v>1080</v>
      </c>
      <c r="Q1165" s="1">
        <v>800</v>
      </c>
      <c r="R1165" s="1">
        <f t="shared" si="389"/>
        <v>800</v>
      </c>
      <c r="S1165" s="1">
        <v>2.5</v>
      </c>
      <c r="U1165" s="1">
        <f t="shared" si="390"/>
        <v>762</v>
      </c>
      <c r="V1165" s="7">
        <f t="shared" si="391"/>
        <v>1.0498687664041995</v>
      </c>
      <c r="W1165" s="7">
        <f t="shared" si="392"/>
        <v>383.20209973753282</v>
      </c>
      <c r="X1165" s="7">
        <f t="shared" si="393"/>
        <v>0.47900262467191601</v>
      </c>
      <c r="AA1165" s="8">
        <f t="shared" si="394"/>
        <v>44927</v>
      </c>
      <c r="AB1165" s="8">
        <f t="shared" si="395"/>
        <v>45291</v>
      </c>
      <c r="AC1165" s="1">
        <v>17</v>
      </c>
      <c r="AD1165" s="1">
        <f t="shared" si="396"/>
        <v>0</v>
      </c>
      <c r="AE1165" s="1">
        <f t="shared" si="397"/>
        <v>31</v>
      </c>
      <c r="AF1165" s="1">
        <f t="shared" si="398"/>
        <v>0</v>
      </c>
      <c r="AG1165" s="1">
        <f t="shared" si="399"/>
        <v>0</v>
      </c>
      <c r="AH1165" s="1">
        <f t="shared" si="400"/>
        <v>0</v>
      </c>
      <c r="AI1165" s="5">
        <f t="shared" si="401"/>
        <v>8.4931506849315067E-2</v>
      </c>
      <c r="AJ1165" s="5">
        <f t="shared" si="402"/>
        <v>4.0682414698162729E-2</v>
      </c>
      <c r="AK1165" s="5">
        <f t="shared" si="403"/>
        <v>0.69160104986876636</v>
      </c>
      <c r="AL1165" s="5">
        <f t="shared" si="404"/>
        <v>1.7290026246719159</v>
      </c>
      <c r="AM1165" s="5">
        <f t="shared" si="405"/>
        <v>0</v>
      </c>
      <c r="AN1165" s="5">
        <f t="shared" si="406"/>
        <v>1.7290026246719159</v>
      </c>
      <c r="AO1165" s="1" t="s">
        <v>102</v>
      </c>
    </row>
    <row r="1166" spans="1:42" x14ac:dyDescent="0.25">
      <c r="A1166" s="1" t="s">
        <v>19</v>
      </c>
      <c r="B1166" s="1" t="s">
        <v>52</v>
      </c>
      <c r="C1166" s="1" t="s">
        <v>21</v>
      </c>
      <c r="D1166" s="1" t="s">
        <v>53</v>
      </c>
      <c r="E1166" s="1" t="s">
        <v>96</v>
      </c>
      <c r="F1166" s="1" t="s">
        <v>1306</v>
      </c>
      <c r="G1166" s="1" t="s">
        <v>114</v>
      </c>
      <c r="H1166" s="1" t="s">
        <v>894</v>
      </c>
      <c r="I1166" s="1" t="s">
        <v>157</v>
      </c>
      <c r="J1166" s="1" t="s">
        <v>101</v>
      </c>
      <c r="K1166" s="1" t="s">
        <v>163</v>
      </c>
      <c r="L1166" s="1">
        <v>3065426</v>
      </c>
      <c r="M1166" s="1" t="s">
        <v>1308</v>
      </c>
      <c r="N1166" s="8">
        <f>DATE(2023,12,31)</f>
        <v>45291</v>
      </c>
      <c r="O1166" s="8">
        <f>DATE(2025,12,31)</f>
        <v>46022</v>
      </c>
      <c r="P1166" s="1">
        <v>1200</v>
      </c>
      <c r="Q1166" s="1">
        <v>1200</v>
      </c>
      <c r="R1166" s="1">
        <f t="shared" si="389"/>
        <v>1200</v>
      </c>
      <c r="S1166" s="1">
        <v>1.5</v>
      </c>
      <c r="U1166" s="1">
        <f t="shared" si="390"/>
        <v>732</v>
      </c>
      <c r="V1166" s="7">
        <f t="shared" si="391"/>
        <v>1.639344262295082</v>
      </c>
      <c r="W1166" s="7">
        <f t="shared" si="392"/>
        <v>598.36065573770497</v>
      </c>
      <c r="X1166" s="7">
        <f t="shared" si="393"/>
        <v>0.74795081967213117</v>
      </c>
      <c r="AA1166" s="8">
        <f t="shared" si="394"/>
        <v>44927</v>
      </c>
      <c r="AB1166" s="8">
        <f t="shared" si="395"/>
        <v>45291</v>
      </c>
      <c r="AC1166" s="1">
        <v>35</v>
      </c>
      <c r="AD1166" s="1">
        <f t="shared" si="396"/>
        <v>0</v>
      </c>
      <c r="AE1166" s="1">
        <f t="shared" si="397"/>
        <v>0</v>
      </c>
      <c r="AF1166" s="1">
        <f t="shared" si="398"/>
        <v>0</v>
      </c>
      <c r="AG1166" s="1">
        <f t="shared" si="399"/>
        <v>0</v>
      </c>
      <c r="AH1166" s="1">
        <f t="shared" si="400"/>
        <v>0</v>
      </c>
      <c r="AI1166" s="5">
        <f t="shared" si="401"/>
        <v>0</v>
      </c>
      <c r="AJ1166" s="5">
        <f t="shared" si="402"/>
        <v>0</v>
      </c>
      <c r="AK1166" s="5">
        <f t="shared" si="403"/>
        <v>0</v>
      </c>
      <c r="AL1166" s="5">
        <f t="shared" si="404"/>
        <v>0</v>
      </c>
      <c r="AM1166" s="5">
        <f t="shared" si="405"/>
        <v>0</v>
      </c>
      <c r="AN1166" s="5">
        <f t="shared" si="406"/>
        <v>0</v>
      </c>
      <c r="AO1166" s="1" t="s">
        <v>102</v>
      </c>
    </row>
    <row r="1167" spans="1:42" x14ac:dyDescent="0.25">
      <c r="A1167" s="1" t="s">
        <v>19</v>
      </c>
      <c r="B1167" s="1" t="s">
        <v>54</v>
      </c>
      <c r="C1167" s="1" t="s">
        <v>21</v>
      </c>
      <c r="D1167" s="1" t="s">
        <v>55</v>
      </c>
      <c r="E1167" s="1" t="s">
        <v>96</v>
      </c>
      <c r="F1167" s="1" t="s">
        <v>103</v>
      </c>
      <c r="G1167" s="1" t="s">
        <v>127</v>
      </c>
      <c r="H1167" s="1" t="s">
        <v>872</v>
      </c>
      <c r="I1167" s="1" t="s">
        <v>157</v>
      </c>
      <c r="J1167" s="1" t="s">
        <v>101</v>
      </c>
      <c r="L1167" s="1">
        <v>1253168</v>
      </c>
      <c r="M1167" s="1" t="s">
        <v>1309</v>
      </c>
      <c r="N1167" s="8">
        <f>DATE(2012,3,5)</f>
        <v>40973</v>
      </c>
      <c r="O1167" s="8">
        <f>DATE(2014,12,19)</f>
        <v>41992</v>
      </c>
      <c r="P1167" s="1">
        <v>2136</v>
      </c>
      <c r="Q1167" s="1">
        <v>1600</v>
      </c>
      <c r="R1167" s="1">
        <f t="shared" si="389"/>
        <v>1600</v>
      </c>
      <c r="S1167" s="1">
        <v>1</v>
      </c>
      <c r="U1167" s="1">
        <f t="shared" si="390"/>
        <v>1020</v>
      </c>
      <c r="V1167" s="7">
        <f t="shared" si="391"/>
        <v>1.5686274509803921</v>
      </c>
      <c r="W1167" s="7">
        <f t="shared" si="392"/>
        <v>572.54901960784309</v>
      </c>
      <c r="X1167" s="7">
        <f t="shared" si="393"/>
        <v>0.71568627450980382</v>
      </c>
      <c r="AA1167" s="8">
        <f t="shared" si="394"/>
        <v>44927</v>
      </c>
      <c r="AB1167" s="8">
        <f t="shared" si="395"/>
        <v>45291</v>
      </c>
      <c r="AC1167" s="1">
        <v>1</v>
      </c>
      <c r="AD1167" s="1">
        <f t="shared" si="396"/>
        <v>0</v>
      </c>
      <c r="AE1167" s="1">
        <f t="shared" si="397"/>
        <v>0</v>
      </c>
      <c r="AF1167" s="1">
        <f t="shared" si="398"/>
        <v>0</v>
      </c>
      <c r="AG1167" s="1">
        <f t="shared" si="399"/>
        <v>0</v>
      </c>
      <c r="AH1167" s="1">
        <f t="shared" si="400"/>
        <v>182.5</v>
      </c>
      <c r="AI1167" s="5">
        <f t="shared" si="401"/>
        <v>0.5</v>
      </c>
      <c r="AJ1167" s="5">
        <f t="shared" si="402"/>
        <v>0.35784313725490191</v>
      </c>
      <c r="AK1167" s="5">
        <f t="shared" si="403"/>
        <v>0</v>
      </c>
      <c r="AL1167" s="5">
        <f t="shared" si="404"/>
        <v>0</v>
      </c>
      <c r="AM1167" s="5">
        <f t="shared" si="405"/>
        <v>0</v>
      </c>
      <c r="AN1167" s="5">
        <f t="shared" si="406"/>
        <v>0</v>
      </c>
      <c r="AO1167" s="1" t="s">
        <v>102</v>
      </c>
    </row>
    <row r="1168" spans="1:42" x14ac:dyDescent="0.25">
      <c r="A1168" s="1" t="s">
        <v>19</v>
      </c>
      <c r="B1168" s="1" t="s">
        <v>54</v>
      </c>
      <c r="C1168" s="1" t="s">
        <v>21</v>
      </c>
      <c r="D1168" s="1" t="s">
        <v>55</v>
      </c>
      <c r="E1168" s="1" t="s">
        <v>96</v>
      </c>
      <c r="F1168" s="1" t="s">
        <v>103</v>
      </c>
      <c r="G1168" s="1" t="s">
        <v>127</v>
      </c>
      <c r="H1168" s="1" t="s">
        <v>872</v>
      </c>
      <c r="I1168" s="1" t="s">
        <v>157</v>
      </c>
      <c r="J1168" s="1" t="s">
        <v>101</v>
      </c>
      <c r="L1168" s="1">
        <v>1858394</v>
      </c>
      <c r="M1168" s="1" t="s">
        <v>1310</v>
      </c>
      <c r="N1168" s="8">
        <f>DATE(2014,2,6)</f>
        <v>41676</v>
      </c>
      <c r="O1168" s="8">
        <f>DATE(2016,12,31)</f>
        <v>42735</v>
      </c>
      <c r="P1168" s="1">
        <v>2085</v>
      </c>
      <c r="Q1168" s="1">
        <v>1600</v>
      </c>
      <c r="R1168" s="1">
        <f t="shared" si="389"/>
        <v>1600</v>
      </c>
      <c r="S1168" s="1">
        <v>1</v>
      </c>
      <c r="U1168" s="1">
        <f t="shared" si="390"/>
        <v>1060</v>
      </c>
      <c r="V1168" s="7">
        <f t="shared" si="391"/>
        <v>1.5094339622641511</v>
      </c>
      <c r="W1168" s="7">
        <f t="shared" si="392"/>
        <v>550.94339622641519</v>
      </c>
      <c r="X1168" s="7">
        <f t="shared" si="393"/>
        <v>0.68867924528301894</v>
      </c>
      <c r="AA1168" s="8">
        <f t="shared" si="394"/>
        <v>44927</v>
      </c>
      <c r="AB1168" s="8">
        <f t="shared" si="395"/>
        <v>45291</v>
      </c>
      <c r="AC1168" s="1">
        <v>2</v>
      </c>
      <c r="AD1168" s="1">
        <f t="shared" si="396"/>
        <v>0</v>
      </c>
      <c r="AE1168" s="1">
        <f t="shared" si="397"/>
        <v>0</v>
      </c>
      <c r="AF1168" s="1">
        <f t="shared" si="398"/>
        <v>0</v>
      </c>
      <c r="AG1168" s="1">
        <f t="shared" si="399"/>
        <v>0</v>
      </c>
      <c r="AH1168" s="1">
        <f t="shared" si="400"/>
        <v>182.5</v>
      </c>
      <c r="AI1168" s="5">
        <f t="shared" si="401"/>
        <v>0.5</v>
      </c>
      <c r="AJ1168" s="5">
        <f t="shared" si="402"/>
        <v>0.34433962264150947</v>
      </c>
      <c r="AK1168" s="5">
        <f t="shared" si="403"/>
        <v>0</v>
      </c>
      <c r="AL1168" s="5">
        <f t="shared" si="404"/>
        <v>0</v>
      </c>
      <c r="AM1168" s="5">
        <f t="shared" si="405"/>
        <v>0</v>
      </c>
      <c r="AN1168" s="5">
        <f t="shared" si="406"/>
        <v>0</v>
      </c>
      <c r="AO1168" s="1" t="s">
        <v>102</v>
      </c>
    </row>
    <row r="1169" spans="1:41" x14ac:dyDescent="0.25">
      <c r="A1169" s="1" t="s">
        <v>19</v>
      </c>
      <c r="B1169" s="1" t="s">
        <v>54</v>
      </c>
      <c r="C1169" s="1" t="s">
        <v>21</v>
      </c>
      <c r="D1169" s="1" t="s">
        <v>55</v>
      </c>
      <c r="E1169" s="1" t="s">
        <v>96</v>
      </c>
      <c r="F1169" s="1" t="s">
        <v>103</v>
      </c>
      <c r="G1169" s="1" t="s">
        <v>127</v>
      </c>
      <c r="H1169" s="1" t="s">
        <v>872</v>
      </c>
      <c r="I1169" s="1" t="s">
        <v>157</v>
      </c>
      <c r="J1169" s="1" t="s">
        <v>101</v>
      </c>
      <c r="L1169" s="1">
        <v>1987341</v>
      </c>
      <c r="M1169" s="1" t="s">
        <v>1311</v>
      </c>
      <c r="N1169" s="8">
        <f>DATE(2015,2,2)</f>
        <v>42037</v>
      </c>
      <c r="O1169" s="8">
        <f>DATE(2017,12,22)</f>
        <v>43091</v>
      </c>
      <c r="P1169" s="1">
        <v>2085</v>
      </c>
      <c r="Q1169" s="1">
        <v>1600</v>
      </c>
      <c r="R1169" s="1">
        <f t="shared" si="389"/>
        <v>1600</v>
      </c>
      <c r="S1169" s="1">
        <v>1</v>
      </c>
      <c r="U1169" s="1">
        <f t="shared" si="390"/>
        <v>1055</v>
      </c>
      <c r="V1169" s="7">
        <f t="shared" si="391"/>
        <v>1.5165876777251184</v>
      </c>
      <c r="W1169" s="7">
        <f t="shared" si="392"/>
        <v>553.55450236966817</v>
      </c>
      <c r="X1169" s="7">
        <f t="shared" si="393"/>
        <v>0.69194312796208524</v>
      </c>
      <c r="AA1169" s="8">
        <f t="shared" si="394"/>
        <v>44927</v>
      </c>
      <c r="AB1169" s="8">
        <f t="shared" si="395"/>
        <v>45291</v>
      </c>
      <c r="AC1169" s="1">
        <v>1</v>
      </c>
      <c r="AD1169" s="1">
        <f t="shared" si="396"/>
        <v>0</v>
      </c>
      <c r="AE1169" s="1">
        <f t="shared" si="397"/>
        <v>0</v>
      </c>
      <c r="AF1169" s="1">
        <f t="shared" si="398"/>
        <v>0</v>
      </c>
      <c r="AG1169" s="1">
        <f t="shared" si="399"/>
        <v>0</v>
      </c>
      <c r="AH1169" s="1">
        <f t="shared" si="400"/>
        <v>182.5</v>
      </c>
      <c r="AI1169" s="5">
        <f t="shared" si="401"/>
        <v>0.5</v>
      </c>
      <c r="AJ1169" s="5">
        <f t="shared" si="402"/>
        <v>0.34597156398104262</v>
      </c>
      <c r="AK1169" s="5">
        <f t="shared" si="403"/>
        <v>0</v>
      </c>
      <c r="AL1169" s="5">
        <f t="shared" si="404"/>
        <v>0</v>
      </c>
      <c r="AM1169" s="5">
        <f t="shared" si="405"/>
        <v>0</v>
      </c>
      <c r="AN1169" s="5">
        <f t="shared" si="406"/>
        <v>0</v>
      </c>
      <c r="AO1169" s="1" t="s">
        <v>102</v>
      </c>
    </row>
    <row r="1170" spans="1:41" x14ac:dyDescent="0.25">
      <c r="A1170" s="1" t="s">
        <v>19</v>
      </c>
      <c r="B1170" s="1" t="s">
        <v>54</v>
      </c>
      <c r="C1170" s="1" t="s">
        <v>21</v>
      </c>
      <c r="D1170" s="1" t="s">
        <v>55</v>
      </c>
      <c r="E1170" s="1" t="s">
        <v>96</v>
      </c>
      <c r="F1170" s="1" t="s">
        <v>103</v>
      </c>
      <c r="G1170" s="1" t="s">
        <v>98</v>
      </c>
      <c r="H1170" s="1" t="s">
        <v>1312</v>
      </c>
      <c r="I1170" s="1" t="s">
        <v>105</v>
      </c>
      <c r="J1170" s="1" t="s">
        <v>106</v>
      </c>
      <c r="L1170" s="1">
        <v>1987439</v>
      </c>
      <c r="M1170" s="1" t="s">
        <v>1313</v>
      </c>
      <c r="N1170" s="8">
        <f>DATE(2015,2,2)</f>
        <v>42037</v>
      </c>
      <c r="O1170" s="8">
        <f>DATE(2019,12,20)</f>
        <v>43819</v>
      </c>
      <c r="P1170" s="1">
        <v>4647</v>
      </c>
      <c r="Q1170" s="1">
        <v>3600</v>
      </c>
      <c r="R1170" s="1">
        <f t="shared" si="389"/>
        <v>3600</v>
      </c>
      <c r="S1170" s="1">
        <v>2.5</v>
      </c>
      <c r="U1170" s="1">
        <f t="shared" si="390"/>
        <v>1783</v>
      </c>
      <c r="V1170" s="7">
        <f t="shared" si="391"/>
        <v>2.0190689848569825</v>
      </c>
      <c r="W1170" s="7">
        <f t="shared" si="392"/>
        <v>736.96017947279859</v>
      </c>
      <c r="X1170" s="7">
        <f t="shared" si="393"/>
        <v>0.92120022434099824</v>
      </c>
      <c r="AA1170" s="8">
        <f t="shared" si="394"/>
        <v>44927</v>
      </c>
      <c r="AB1170" s="8">
        <f t="shared" si="395"/>
        <v>45291</v>
      </c>
      <c r="AC1170" s="1">
        <v>3</v>
      </c>
      <c r="AD1170" s="1">
        <f t="shared" si="396"/>
        <v>0</v>
      </c>
      <c r="AE1170" s="1">
        <f t="shared" si="397"/>
        <v>0</v>
      </c>
      <c r="AF1170" s="1">
        <f t="shared" si="398"/>
        <v>0</v>
      </c>
      <c r="AG1170" s="1">
        <f t="shared" si="399"/>
        <v>0</v>
      </c>
      <c r="AH1170" s="1">
        <f t="shared" si="400"/>
        <v>182.5</v>
      </c>
      <c r="AI1170" s="5">
        <f t="shared" si="401"/>
        <v>0.5</v>
      </c>
      <c r="AJ1170" s="5">
        <f t="shared" si="402"/>
        <v>0.46060011217049912</v>
      </c>
      <c r="AK1170" s="5">
        <f t="shared" si="403"/>
        <v>0</v>
      </c>
      <c r="AL1170" s="5">
        <f t="shared" si="404"/>
        <v>0</v>
      </c>
      <c r="AM1170" s="5">
        <f t="shared" si="405"/>
        <v>0</v>
      </c>
      <c r="AN1170" s="5">
        <f t="shared" si="406"/>
        <v>0</v>
      </c>
      <c r="AO1170" s="1" t="s">
        <v>102</v>
      </c>
    </row>
    <row r="1171" spans="1:41" x14ac:dyDescent="0.25">
      <c r="A1171" s="1" t="s">
        <v>19</v>
      </c>
      <c r="B1171" s="1" t="s">
        <v>54</v>
      </c>
      <c r="C1171" s="1" t="s">
        <v>21</v>
      </c>
      <c r="D1171" s="1" t="s">
        <v>55</v>
      </c>
      <c r="E1171" s="1" t="s">
        <v>96</v>
      </c>
      <c r="F1171" s="1" t="s">
        <v>103</v>
      </c>
      <c r="G1171" s="1" t="s">
        <v>127</v>
      </c>
      <c r="H1171" s="1" t="s">
        <v>1314</v>
      </c>
      <c r="I1171" s="1" t="s">
        <v>105</v>
      </c>
      <c r="J1171" s="1" t="s">
        <v>106</v>
      </c>
      <c r="L1171" s="1">
        <v>1987443</v>
      </c>
      <c r="M1171" s="1" t="s">
        <v>1315</v>
      </c>
      <c r="N1171" s="8">
        <f>DATE(2015,8,3)</f>
        <v>42219</v>
      </c>
      <c r="O1171" s="8">
        <f>DATE(2018,7,2)</f>
        <v>43283</v>
      </c>
      <c r="P1171" s="1">
        <v>2939</v>
      </c>
      <c r="Q1171" s="1">
        <v>2400</v>
      </c>
      <c r="R1171" s="1">
        <f t="shared" si="389"/>
        <v>2400</v>
      </c>
      <c r="S1171" s="1">
        <v>2.5</v>
      </c>
      <c r="U1171" s="1">
        <f t="shared" si="390"/>
        <v>1065</v>
      </c>
      <c r="V1171" s="7">
        <f t="shared" si="391"/>
        <v>2.2535211267605635</v>
      </c>
      <c r="W1171" s="7">
        <f t="shared" si="392"/>
        <v>822.53521126760563</v>
      </c>
      <c r="X1171" s="7">
        <f t="shared" si="393"/>
        <v>1.028169014084507</v>
      </c>
      <c r="AA1171" s="8">
        <f t="shared" si="394"/>
        <v>44927</v>
      </c>
      <c r="AB1171" s="8">
        <f t="shared" si="395"/>
        <v>45291</v>
      </c>
      <c r="AC1171" s="1">
        <v>3</v>
      </c>
      <c r="AD1171" s="1">
        <f t="shared" si="396"/>
        <v>0</v>
      </c>
      <c r="AE1171" s="1">
        <f t="shared" si="397"/>
        <v>0</v>
      </c>
      <c r="AF1171" s="1">
        <f t="shared" si="398"/>
        <v>0</v>
      </c>
      <c r="AG1171" s="1">
        <f t="shared" si="399"/>
        <v>0</v>
      </c>
      <c r="AH1171" s="1">
        <f t="shared" si="400"/>
        <v>182.5</v>
      </c>
      <c r="AI1171" s="5">
        <f t="shared" si="401"/>
        <v>0.5</v>
      </c>
      <c r="AJ1171" s="5">
        <f t="shared" si="402"/>
        <v>0.5140845070422535</v>
      </c>
      <c r="AK1171" s="5">
        <f t="shared" si="403"/>
        <v>0</v>
      </c>
      <c r="AL1171" s="5">
        <f t="shared" si="404"/>
        <v>0</v>
      </c>
      <c r="AM1171" s="5">
        <f t="shared" si="405"/>
        <v>0</v>
      </c>
      <c r="AN1171" s="5">
        <f t="shared" si="406"/>
        <v>0</v>
      </c>
      <c r="AO1171" s="1" t="s">
        <v>102</v>
      </c>
    </row>
    <row r="1172" spans="1:41" x14ac:dyDescent="0.25">
      <c r="A1172" s="1" t="s">
        <v>19</v>
      </c>
      <c r="B1172" s="1" t="s">
        <v>54</v>
      </c>
      <c r="C1172" s="1" t="s">
        <v>21</v>
      </c>
      <c r="D1172" s="1" t="s">
        <v>55</v>
      </c>
      <c r="E1172" s="1" t="s">
        <v>96</v>
      </c>
      <c r="F1172" s="1" t="s">
        <v>103</v>
      </c>
      <c r="G1172" s="1" t="s">
        <v>114</v>
      </c>
      <c r="H1172" s="1" t="s">
        <v>119</v>
      </c>
      <c r="I1172" s="1" t="s">
        <v>105</v>
      </c>
      <c r="J1172" s="1" t="s">
        <v>106</v>
      </c>
      <c r="K1172" s="1" t="s">
        <v>116</v>
      </c>
      <c r="L1172" s="1">
        <v>2018453</v>
      </c>
      <c r="M1172" s="1" t="s">
        <v>1316</v>
      </c>
      <c r="N1172" s="8">
        <f>DATE(2016,3,21)</f>
        <v>42450</v>
      </c>
      <c r="O1172" s="8">
        <f>DATE(2018,12,21)</f>
        <v>43455</v>
      </c>
      <c r="P1172" s="1">
        <v>3818</v>
      </c>
      <c r="Q1172" s="1">
        <v>1200</v>
      </c>
      <c r="R1172" s="1">
        <f t="shared" si="389"/>
        <v>3200</v>
      </c>
      <c r="S1172" s="1">
        <v>2.5</v>
      </c>
      <c r="U1172" s="1">
        <f t="shared" si="390"/>
        <v>1006</v>
      </c>
      <c r="V1172" s="7">
        <f t="shared" si="391"/>
        <v>3.1809145129224654</v>
      </c>
      <c r="W1172" s="7">
        <f t="shared" si="392"/>
        <v>1161.0337972166999</v>
      </c>
      <c r="X1172" s="7">
        <f t="shared" si="393"/>
        <v>1.4512922465208749</v>
      </c>
      <c r="AA1172" s="8">
        <f t="shared" si="394"/>
        <v>44927</v>
      </c>
      <c r="AB1172" s="8">
        <f t="shared" si="395"/>
        <v>45291</v>
      </c>
      <c r="AC1172" s="1">
        <v>0</v>
      </c>
      <c r="AD1172" s="1">
        <f t="shared" si="396"/>
        <v>0</v>
      </c>
      <c r="AE1172" s="1">
        <f t="shared" si="397"/>
        <v>0</v>
      </c>
      <c r="AF1172" s="1">
        <f t="shared" si="398"/>
        <v>0</v>
      </c>
      <c r="AG1172" s="1">
        <f t="shared" si="399"/>
        <v>0</v>
      </c>
      <c r="AH1172" s="1">
        <f t="shared" si="400"/>
        <v>182.5</v>
      </c>
      <c r="AI1172" s="5">
        <f t="shared" si="401"/>
        <v>0.5</v>
      </c>
      <c r="AJ1172" s="5">
        <f t="shared" si="402"/>
        <v>0.72564612326043743</v>
      </c>
      <c r="AK1172" s="5">
        <f t="shared" si="403"/>
        <v>0</v>
      </c>
      <c r="AL1172" s="5">
        <f t="shared" si="404"/>
        <v>0</v>
      </c>
      <c r="AM1172" s="5">
        <f t="shared" si="405"/>
        <v>0</v>
      </c>
      <c r="AN1172" s="5">
        <f t="shared" si="406"/>
        <v>0</v>
      </c>
      <c r="AO1172" s="1" t="s">
        <v>102</v>
      </c>
    </row>
    <row r="1173" spans="1:41" x14ac:dyDescent="0.25">
      <c r="A1173" s="1" t="s">
        <v>19</v>
      </c>
      <c r="B1173" s="1" t="s">
        <v>54</v>
      </c>
      <c r="C1173" s="1" t="s">
        <v>21</v>
      </c>
      <c r="D1173" s="1" t="s">
        <v>55</v>
      </c>
      <c r="E1173" s="1" t="s">
        <v>96</v>
      </c>
      <c r="F1173" s="1" t="s">
        <v>103</v>
      </c>
      <c r="G1173" s="1" t="s">
        <v>127</v>
      </c>
      <c r="H1173" s="1" t="s">
        <v>1314</v>
      </c>
      <c r="I1173" s="1" t="s">
        <v>105</v>
      </c>
      <c r="J1173" s="1" t="s">
        <v>106</v>
      </c>
      <c r="L1173" s="1">
        <v>2024408</v>
      </c>
      <c r="M1173" s="1" t="s">
        <v>1317</v>
      </c>
      <c r="N1173" s="8">
        <f>DATE(2016,3,21)</f>
        <v>42450</v>
      </c>
      <c r="O1173" s="8">
        <f>DATE(2018,12,21)</f>
        <v>43455</v>
      </c>
      <c r="P1173" s="1">
        <v>2939</v>
      </c>
      <c r="Q1173" s="1">
        <v>2400</v>
      </c>
      <c r="R1173" s="1">
        <f t="shared" si="389"/>
        <v>2400</v>
      </c>
      <c r="S1173" s="1">
        <v>2.5</v>
      </c>
      <c r="U1173" s="1">
        <f t="shared" si="390"/>
        <v>1006</v>
      </c>
      <c r="V1173" s="7">
        <f t="shared" si="391"/>
        <v>2.3856858846918487</v>
      </c>
      <c r="W1173" s="7">
        <f t="shared" si="392"/>
        <v>870.77534791252481</v>
      </c>
      <c r="X1173" s="7">
        <f t="shared" si="393"/>
        <v>1.088469184890656</v>
      </c>
      <c r="AA1173" s="8">
        <f t="shared" si="394"/>
        <v>44927</v>
      </c>
      <c r="AB1173" s="8">
        <f t="shared" si="395"/>
        <v>45291</v>
      </c>
      <c r="AC1173" s="1">
        <v>0</v>
      </c>
      <c r="AD1173" s="1">
        <f t="shared" si="396"/>
        <v>0</v>
      </c>
      <c r="AE1173" s="1">
        <f t="shared" si="397"/>
        <v>0</v>
      </c>
      <c r="AF1173" s="1">
        <f t="shared" si="398"/>
        <v>0</v>
      </c>
      <c r="AG1173" s="1">
        <f t="shared" si="399"/>
        <v>0</v>
      </c>
      <c r="AH1173" s="1">
        <f t="shared" si="400"/>
        <v>182.5</v>
      </c>
      <c r="AI1173" s="5">
        <f t="shared" si="401"/>
        <v>0.5</v>
      </c>
      <c r="AJ1173" s="5">
        <f t="shared" si="402"/>
        <v>0.54423459244532801</v>
      </c>
      <c r="AK1173" s="5">
        <f t="shared" si="403"/>
        <v>0</v>
      </c>
      <c r="AL1173" s="5">
        <f t="shared" si="404"/>
        <v>0</v>
      </c>
      <c r="AM1173" s="5">
        <f t="shared" si="405"/>
        <v>0</v>
      </c>
      <c r="AN1173" s="5">
        <f t="shared" si="406"/>
        <v>0</v>
      </c>
      <c r="AO1173" s="1" t="s">
        <v>102</v>
      </c>
    </row>
    <row r="1174" spans="1:41" x14ac:dyDescent="0.25">
      <c r="A1174" s="1" t="s">
        <v>19</v>
      </c>
      <c r="B1174" s="1" t="s">
        <v>54</v>
      </c>
      <c r="C1174" s="1" t="s">
        <v>21</v>
      </c>
      <c r="D1174" s="1" t="s">
        <v>55</v>
      </c>
      <c r="E1174" s="1" t="s">
        <v>96</v>
      </c>
      <c r="F1174" s="1" t="s">
        <v>103</v>
      </c>
      <c r="G1174" s="1" t="s">
        <v>98</v>
      </c>
      <c r="H1174" s="1" t="s">
        <v>1312</v>
      </c>
      <c r="I1174" s="1" t="s">
        <v>105</v>
      </c>
      <c r="J1174" s="1" t="s">
        <v>106</v>
      </c>
      <c r="L1174" s="1">
        <v>2024532</v>
      </c>
      <c r="M1174" s="1" t="s">
        <v>1318</v>
      </c>
      <c r="N1174" s="8">
        <f>DATE(2016,3,21)</f>
        <v>42450</v>
      </c>
      <c r="O1174" s="8">
        <f>DATE(2020,12,20)</f>
        <v>44185</v>
      </c>
      <c r="P1174" s="1">
        <v>4647</v>
      </c>
      <c r="Q1174" s="1">
        <v>3600</v>
      </c>
      <c r="R1174" s="1">
        <f t="shared" si="389"/>
        <v>3600</v>
      </c>
      <c r="S1174" s="1">
        <v>2.5</v>
      </c>
      <c r="U1174" s="1">
        <f t="shared" si="390"/>
        <v>1736</v>
      </c>
      <c r="V1174" s="7">
        <f t="shared" si="391"/>
        <v>2.0737327188940093</v>
      </c>
      <c r="W1174" s="7">
        <f t="shared" si="392"/>
        <v>756.91244239631339</v>
      </c>
      <c r="X1174" s="7">
        <f t="shared" si="393"/>
        <v>0.94614055299539179</v>
      </c>
      <c r="AA1174" s="8">
        <f t="shared" si="394"/>
        <v>44927</v>
      </c>
      <c r="AB1174" s="8">
        <f t="shared" si="395"/>
        <v>45291</v>
      </c>
      <c r="AC1174" s="1">
        <v>3</v>
      </c>
      <c r="AD1174" s="1">
        <f t="shared" si="396"/>
        <v>0</v>
      </c>
      <c r="AE1174" s="1">
        <f t="shared" si="397"/>
        <v>0</v>
      </c>
      <c r="AF1174" s="1">
        <f t="shared" si="398"/>
        <v>0</v>
      </c>
      <c r="AG1174" s="1">
        <f t="shared" si="399"/>
        <v>0</v>
      </c>
      <c r="AH1174" s="1">
        <f t="shared" si="400"/>
        <v>182.5</v>
      </c>
      <c r="AI1174" s="5">
        <f t="shared" si="401"/>
        <v>0.5</v>
      </c>
      <c r="AJ1174" s="5">
        <f t="shared" si="402"/>
        <v>0.4730702764976959</v>
      </c>
      <c r="AK1174" s="5">
        <f t="shared" si="403"/>
        <v>0.70960541474654382</v>
      </c>
      <c r="AL1174" s="5">
        <f t="shared" si="404"/>
        <v>1.7740135368663594</v>
      </c>
      <c r="AM1174" s="5">
        <f t="shared" si="405"/>
        <v>0.88700676843317972</v>
      </c>
      <c r="AN1174" s="5">
        <f t="shared" si="406"/>
        <v>2.6610203052995391</v>
      </c>
      <c r="AO1174" s="1" t="s">
        <v>102</v>
      </c>
    </row>
    <row r="1175" spans="1:41" x14ac:dyDescent="0.25">
      <c r="A1175" s="1" t="s">
        <v>19</v>
      </c>
      <c r="B1175" s="1" t="s">
        <v>54</v>
      </c>
      <c r="C1175" s="1" t="s">
        <v>21</v>
      </c>
      <c r="D1175" s="1" t="s">
        <v>55</v>
      </c>
      <c r="E1175" s="1" t="s">
        <v>96</v>
      </c>
      <c r="F1175" s="1" t="s">
        <v>103</v>
      </c>
      <c r="G1175" s="1" t="s">
        <v>127</v>
      </c>
      <c r="H1175" s="1" t="s">
        <v>872</v>
      </c>
      <c r="I1175" s="1" t="s">
        <v>157</v>
      </c>
      <c r="J1175" s="1" t="s">
        <v>101</v>
      </c>
      <c r="L1175" s="1">
        <v>2024788</v>
      </c>
      <c r="M1175" s="1" t="s">
        <v>1319</v>
      </c>
      <c r="N1175" s="8">
        <f>DATE(2016,3,21)</f>
        <v>42450</v>
      </c>
      <c r="O1175" s="8">
        <f>DATE(2018,12,21)</f>
        <v>43455</v>
      </c>
      <c r="P1175" s="1">
        <v>2085</v>
      </c>
      <c r="Q1175" s="1">
        <v>1600</v>
      </c>
      <c r="R1175" s="1">
        <f t="shared" si="389"/>
        <v>1600</v>
      </c>
      <c r="S1175" s="1">
        <v>1</v>
      </c>
      <c r="U1175" s="1">
        <f t="shared" si="390"/>
        <v>1006</v>
      </c>
      <c r="V1175" s="7">
        <f t="shared" si="391"/>
        <v>1.5904572564612327</v>
      </c>
      <c r="W1175" s="7">
        <f t="shared" si="392"/>
        <v>580.51689860834995</v>
      </c>
      <c r="X1175" s="7">
        <f t="shared" si="393"/>
        <v>0.72564612326043743</v>
      </c>
      <c r="AA1175" s="8">
        <f t="shared" si="394"/>
        <v>44927</v>
      </c>
      <c r="AB1175" s="8">
        <f t="shared" si="395"/>
        <v>45291</v>
      </c>
      <c r="AC1175" s="1">
        <v>2</v>
      </c>
      <c r="AD1175" s="1">
        <f t="shared" si="396"/>
        <v>0</v>
      </c>
      <c r="AE1175" s="1">
        <f t="shared" si="397"/>
        <v>0</v>
      </c>
      <c r="AF1175" s="1">
        <f t="shared" si="398"/>
        <v>0</v>
      </c>
      <c r="AG1175" s="1">
        <f t="shared" si="399"/>
        <v>0</v>
      </c>
      <c r="AH1175" s="1">
        <f t="shared" si="400"/>
        <v>182.5</v>
      </c>
      <c r="AI1175" s="5">
        <f t="shared" si="401"/>
        <v>0.5</v>
      </c>
      <c r="AJ1175" s="5">
        <f t="shared" si="402"/>
        <v>0.36282306163021871</v>
      </c>
      <c r="AK1175" s="5">
        <f t="shared" si="403"/>
        <v>0</v>
      </c>
      <c r="AL1175" s="5">
        <f t="shared" si="404"/>
        <v>0</v>
      </c>
      <c r="AM1175" s="5">
        <f t="shared" si="405"/>
        <v>0</v>
      </c>
      <c r="AN1175" s="5">
        <f t="shared" si="406"/>
        <v>0</v>
      </c>
      <c r="AO1175" s="1" t="s">
        <v>102</v>
      </c>
    </row>
    <row r="1176" spans="1:41" x14ac:dyDescent="0.25">
      <c r="A1176" s="1" t="s">
        <v>19</v>
      </c>
      <c r="B1176" s="1" t="s">
        <v>54</v>
      </c>
      <c r="C1176" s="1" t="s">
        <v>21</v>
      </c>
      <c r="D1176" s="1" t="s">
        <v>55</v>
      </c>
      <c r="E1176" s="1" t="s">
        <v>96</v>
      </c>
      <c r="F1176" s="1" t="s">
        <v>103</v>
      </c>
      <c r="G1176" s="1" t="s">
        <v>98</v>
      </c>
      <c r="H1176" s="1" t="s">
        <v>1312</v>
      </c>
      <c r="I1176" s="1" t="s">
        <v>105</v>
      </c>
      <c r="J1176" s="1" t="s">
        <v>106</v>
      </c>
      <c r="L1176" s="1">
        <v>2126720</v>
      </c>
      <c r="M1176" s="1" t="s">
        <v>1320</v>
      </c>
      <c r="N1176" s="8">
        <f>DATE(2017,2,6)</f>
        <v>42772</v>
      </c>
      <c r="O1176" s="8">
        <f>DATE(2021,12,23)</f>
        <v>44553</v>
      </c>
      <c r="P1176" s="1">
        <v>4647</v>
      </c>
      <c r="Q1176" s="1">
        <v>3600</v>
      </c>
      <c r="R1176" s="1">
        <f t="shared" si="389"/>
        <v>3600</v>
      </c>
      <c r="S1176" s="1">
        <v>2.5</v>
      </c>
      <c r="U1176" s="1">
        <f t="shared" si="390"/>
        <v>1782</v>
      </c>
      <c r="V1176" s="7">
        <f t="shared" si="391"/>
        <v>2.0202020202020203</v>
      </c>
      <c r="W1176" s="7">
        <f t="shared" si="392"/>
        <v>737.37373737373741</v>
      </c>
      <c r="X1176" s="7">
        <f t="shared" si="393"/>
        <v>0.92171717171717171</v>
      </c>
      <c r="AA1176" s="8">
        <f t="shared" si="394"/>
        <v>44927</v>
      </c>
      <c r="AB1176" s="8">
        <f t="shared" si="395"/>
        <v>45291</v>
      </c>
      <c r="AC1176" s="1">
        <v>12</v>
      </c>
      <c r="AD1176" s="1">
        <f t="shared" si="396"/>
        <v>0</v>
      </c>
      <c r="AE1176" s="1">
        <f t="shared" si="397"/>
        <v>0</v>
      </c>
      <c r="AF1176" s="1">
        <f t="shared" si="398"/>
        <v>0</v>
      </c>
      <c r="AG1176" s="1">
        <f t="shared" si="399"/>
        <v>0</v>
      </c>
      <c r="AH1176" s="1">
        <f t="shared" si="400"/>
        <v>182.5</v>
      </c>
      <c r="AI1176" s="5">
        <f t="shared" si="401"/>
        <v>0.5</v>
      </c>
      <c r="AJ1176" s="5">
        <f t="shared" si="402"/>
        <v>0.46085858585858586</v>
      </c>
      <c r="AK1176" s="5">
        <f t="shared" si="403"/>
        <v>2.7651515151515151</v>
      </c>
      <c r="AL1176" s="5">
        <f t="shared" si="404"/>
        <v>6.9128787878787881</v>
      </c>
      <c r="AM1176" s="5">
        <f t="shared" si="405"/>
        <v>3.456439393939394</v>
      </c>
      <c r="AN1176" s="5">
        <f t="shared" si="406"/>
        <v>10.369318181818182</v>
      </c>
      <c r="AO1176" s="1" t="s">
        <v>102</v>
      </c>
    </row>
    <row r="1177" spans="1:41" x14ac:dyDescent="0.25">
      <c r="A1177" s="1" t="s">
        <v>19</v>
      </c>
      <c r="B1177" s="1" t="s">
        <v>54</v>
      </c>
      <c r="C1177" s="1" t="s">
        <v>21</v>
      </c>
      <c r="D1177" s="1" t="s">
        <v>55</v>
      </c>
      <c r="E1177" s="1" t="s">
        <v>96</v>
      </c>
      <c r="F1177" s="1" t="s">
        <v>103</v>
      </c>
      <c r="G1177" s="1" t="s">
        <v>127</v>
      </c>
      <c r="H1177" s="1" t="s">
        <v>872</v>
      </c>
      <c r="I1177" s="1" t="s">
        <v>157</v>
      </c>
      <c r="J1177" s="1" t="s">
        <v>101</v>
      </c>
      <c r="L1177" s="1">
        <v>2126721</v>
      </c>
      <c r="M1177" s="1" t="s">
        <v>1321</v>
      </c>
      <c r="N1177" s="8">
        <f>DATE(2017,2,6)</f>
        <v>42772</v>
      </c>
      <c r="O1177" s="8">
        <f>DATE(2019,12,23)</f>
        <v>43822</v>
      </c>
      <c r="P1177" s="1">
        <v>2085</v>
      </c>
      <c r="Q1177" s="1">
        <v>1600</v>
      </c>
      <c r="R1177" s="1">
        <f t="shared" si="389"/>
        <v>1600</v>
      </c>
      <c r="S1177" s="1">
        <v>1</v>
      </c>
      <c r="U1177" s="1">
        <f t="shared" si="390"/>
        <v>1051</v>
      </c>
      <c r="V1177" s="7">
        <f t="shared" si="391"/>
        <v>1.522359657469077</v>
      </c>
      <c r="W1177" s="7">
        <f t="shared" si="392"/>
        <v>555.66127497621312</v>
      </c>
      <c r="X1177" s="7">
        <f t="shared" si="393"/>
        <v>0.69457659372026637</v>
      </c>
      <c r="AA1177" s="8">
        <f t="shared" si="394"/>
        <v>44927</v>
      </c>
      <c r="AB1177" s="8">
        <f t="shared" si="395"/>
        <v>45291</v>
      </c>
      <c r="AC1177" s="1">
        <v>3</v>
      </c>
      <c r="AD1177" s="1">
        <f t="shared" si="396"/>
        <v>0</v>
      </c>
      <c r="AE1177" s="1">
        <f t="shared" si="397"/>
        <v>0</v>
      </c>
      <c r="AF1177" s="1">
        <f t="shared" si="398"/>
        <v>0</v>
      </c>
      <c r="AG1177" s="1">
        <f t="shared" si="399"/>
        <v>0</v>
      </c>
      <c r="AH1177" s="1">
        <f t="shared" si="400"/>
        <v>182.5</v>
      </c>
      <c r="AI1177" s="5">
        <f t="shared" si="401"/>
        <v>0.5</v>
      </c>
      <c r="AJ1177" s="5">
        <f t="shared" si="402"/>
        <v>0.34728829686013318</v>
      </c>
      <c r="AK1177" s="5">
        <f t="shared" si="403"/>
        <v>0</v>
      </c>
      <c r="AL1177" s="5">
        <f t="shared" si="404"/>
        <v>0</v>
      </c>
      <c r="AM1177" s="5">
        <f t="shared" si="405"/>
        <v>0</v>
      </c>
      <c r="AN1177" s="5">
        <f t="shared" si="406"/>
        <v>0</v>
      </c>
      <c r="AO1177" s="1" t="s">
        <v>102</v>
      </c>
    </row>
    <row r="1178" spans="1:41" x14ac:dyDescent="0.25">
      <c r="A1178" s="1" t="s">
        <v>19</v>
      </c>
      <c r="B1178" s="1" t="s">
        <v>54</v>
      </c>
      <c r="C1178" s="1" t="s">
        <v>21</v>
      </c>
      <c r="D1178" s="1" t="s">
        <v>55</v>
      </c>
      <c r="E1178" s="1" t="s">
        <v>96</v>
      </c>
      <c r="F1178" s="1" t="s">
        <v>103</v>
      </c>
      <c r="G1178" s="1" t="s">
        <v>127</v>
      </c>
      <c r="H1178" s="1" t="s">
        <v>1314</v>
      </c>
      <c r="I1178" s="1" t="s">
        <v>105</v>
      </c>
      <c r="J1178" s="1" t="s">
        <v>106</v>
      </c>
      <c r="L1178" s="1">
        <v>2126722</v>
      </c>
      <c r="M1178" s="1" t="s">
        <v>1322</v>
      </c>
      <c r="N1178" s="8">
        <f>DATE(2017,2,6)</f>
        <v>42772</v>
      </c>
      <c r="O1178" s="8">
        <f>DATE(2019,12,23)</f>
        <v>43822</v>
      </c>
      <c r="P1178" s="1">
        <v>2939</v>
      </c>
      <c r="Q1178" s="1">
        <v>2400</v>
      </c>
      <c r="R1178" s="1">
        <f t="shared" si="389"/>
        <v>2400</v>
      </c>
      <c r="S1178" s="1">
        <v>2.5</v>
      </c>
      <c r="U1178" s="1">
        <f t="shared" si="390"/>
        <v>1051</v>
      </c>
      <c r="V1178" s="7">
        <f t="shared" si="391"/>
        <v>2.2835394862036158</v>
      </c>
      <c r="W1178" s="7">
        <f t="shared" si="392"/>
        <v>833.49191246431974</v>
      </c>
      <c r="X1178" s="7">
        <f t="shared" si="393"/>
        <v>1.0418648905803998</v>
      </c>
      <c r="AA1178" s="8">
        <f t="shared" si="394"/>
        <v>44927</v>
      </c>
      <c r="AB1178" s="8">
        <f t="shared" si="395"/>
        <v>45291</v>
      </c>
      <c r="AC1178" s="1">
        <v>3</v>
      </c>
      <c r="AD1178" s="1">
        <f t="shared" si="396"/>
        <v>0</v>
      </c>
      <c r="AE1178" s="1">
        <f t="shared" si="397"/>
        <v>0</v>
      </c>
      <c r="AF1178" s="1">
        <f t="shared" si="398"/>
        <v>0</v>
      </c>
      <c r="AG1178" s="1">
        <f t="shared" si="399"/>
        <v>0</v>
      </c>
      <c r="AH1178" s="1">
        <f t="shared" si="400"/>
        <v>182.5</v>
      </c>
      <c r="AI1178" s="5">
        <f t="shared" si="401"/>
        <v>0.5</v>
      </c>
      <c r="AJ1178" s="5">
        <f t="shared" si="402"/>
        <v>0.52093244529019989</v>
      </c>
      <c r="AK1178" s="5">
        <f t="shared" si="403"/>
        <v>0</v>
      </c>
      <c r="AL1178" s="5">
        <f t="shared" si="404"/>
        <v>0</v>
      </c>
      <c r="AM1178" s="5">
        <f t="shared" si="405"/>
        <v>0</v>
      </c>
      <c r="AN1178" s="5">
        <f t="shared" si="406"/>
        <v>0</v>
      </c>
      <c r="AO1178" s="1" t="s">
        <v>102</v>
      </c>
    </row>
    <row r="1179" spans="1:41" x14ac:dyDescent="0.25">
      <c r="A1179" s="1" t="s">
        <v>19</v>
      </c>
      <c r="B1179" s="1" t="s">
        <v>54</v>
      </c>
      <c r="C1179" s="1" t="s">
        <v>21</v>
      </c>
      <c r="D1179" s="1" t="s">
        <v>55</v>
      </c>
      <c r="E1179" s="1" t="s">
        <v>96</v>
      </c>
      <c r="F1179" s="1" t="s">
        <v>103</v>
      </c>
      <c r="G1179" s="1" t="s">
        <v>114</v>
      </c>
      <c r="H1179" s="1" t="s">
        <v>254</v>
      </c>
      <c r="I1179" s="1" t="s">
        <v>255</v>
      </c>
      <c r="J1179" s="1" t="s">
        <v>101</v>
      </c>
      <c r="K1179" s="1" t="s">
        <v>116</v>
      </c>
      <c r="L1179" s="1">
        <v>2126724</v>
      </c>
      <c r="M1179" s="1" t="s">
        <v>1323</v>
      </c>
      <c r="N1179" s="8">
        <f>DATE(2017,2,6)</f>
        <v>42772</v>
      </c>
      <c r="O1179" s="8">
        <f>DATE(2019,12,23)</f>
        <v>43822</v>
      </c>
      <c r="P1179" s="1">
        <v>3886</v>
      </c>
      <c r="Q1179" s="1">
        <v>1200</v>
      </c>
      <c r="R1179" s="1">
        <f t="shared" si="389"/>
        <v>3200</v>
      </c>
      <c r="S1179" s="1">
        <v>2.5</v>
      </c>
      <c r="U1179" s="1">
        <f t="shared" si="390"/>
        <v>1051</v>
      </c>
      <c r="V1179" s="7">
        <f t="shared" si="391"/>
        <v>3.044719314938154</v>
      </c>
      <c r="W1179" s="7">
        <f t="shared" si="392"/>
        <v>1111.3225499524262</v>
      </c>
      <c r="X1179" s="7">
        <f t="shared" si="393"/>
        <v>1.3891531874405327</v>
      </c>
      <c r="AA1179" s="8">
        <f t="shared" si="394"/>
        <v>44927</v>
      </c>
      <c r="AB1179" s="8">
        <f t="shared" si="395"/>
        <v>45291</v>
      </c>
      <c r="AC1179" s="1">
        <v>1</v>
      </c>
      <c r="AD1179" s="1">
        <f t="shared" si="396"/>
        <v>0</v>
      </c>
      <c r="AE1179" s="1">
        <f t="shared" si="397"/>
        <v>0</v>
      </c>
      <c r="AF1179" s="1">
        <f t="shared" si="398"/>
        <v>0</v>
      </c>
      <c r="AG1179" s="1">
        <f t="shared" si="399"/>
        <v>0</v>
      </c>
      <c r="AH1179" s="1">
        <f t="shared" si="400"/>
        <v>182.5</v>
      </c>
      <c r="AI1179" s="5">
        <f t="shared" si="401"/>
        <v>0.5</v>
      </c>
      <c r="AJ1179" s="5">
        <f t="shared" si="402"/>
        <v>0.69457659372026637</v>
      </c>
      <c r="AK1179" s="5">
        <f t="shared" si="403"/>
        <v>0</v>
      </c>
      <c r="AL1179" s="5">
        <f t="shared" si="404"/>
        <v>0</v>
      </c>
      <c r="AM1179" s="5">
        <f t="shared" si="405"/>
        <v>0</v>
      </c>
      <c r="AN1179" s="5">
        <f t="shared" si="406"/>
        <v>0</v>
      </c>
      <c r="AO1179" s="1" t="s">
        <v>102</v>
      </c>
    </row>
    <row r="1180" spans="1:41" x14ac:dyDescent="0.25">
      <c r="A1180" s="1" t="s">
        <v>19</v>
      </c>
      <c r="B1180" s="1" t="s">
        <v>54</v>
      </c>
      <c r="C1180" s="1" t="s">
        <v>21</v>
      </c>
      <c r="D1180" s="1" t="s">
        <v>55</v>
      </c>
      <c r="E1180" s="1" t="s">
        <v>96</v>
      </c>
      <c r="F1180" s="1" t="s">
        <v>103</v>
      </c>
      <c r="G1180" s="1" t="s">
        <v>114</v>
      </c>
      <c r="H1180" s="1" t="s">
        <v>119</v>
      </c>
      <c r="I1180" s="1" t="s">
        <v>105</v>
      </c>
      <c r="J1180" s="1" t="s">
        <v>106</v>
      </c>
      <c r="K1180" s="1" t="s">
        <v>116</v>
      </c>
      <c r="L1180" s="1">
        <v>2476768</v>
      </c>
      <c r="M1180" s="1" t="s">
        <v>1324</v>
      </c>
      <c r="N1180" s="8">
        <f>DATE(2018,2,5)</f>
        <v>43136</v>
      </c>
      <c r="O1180" s="8">
        <f>DATE(2020,12,23)</f>
        <v>44188</v>
      </c>
      <c r="P1180" s="1">
        <v>3818</v>
      </c>
      <c r="Q1180" s="1">
        <v>1200</v>
      </c>
      <c r="R1180" s="1">
        <f t="shared" si="389"/>
        <v>3200</v>
      </c>
      <c r="S1180" s="1">
        <v>2.5</v>
      </c>
      <c r="U1180" s="1">
        <f t="shared" si="390"/>
        <v>1053</v>
      </c>
      <c r="V1180" s="7">
        <f t="shared" si="391"/>
        <v>3.0389363722697058</v>
      </c>
      <c r="W1180" s="7">
        <f t="shared" si="392"/>
        <v>1109.2117758784427</v>
      </c>
      <c r="X1180" s="7">
        <f t="shared" si="393"/>
        <v>1.3865147198480534</v>
      </c>
      <c r="AA1180" s="8">
        <f t="shared" si="394"/>
        <v>44927</v>
      </c>
      <c r="AB1180" s="8">
        <f t="shared" si="395"/>
        <v>45291</v>
      </c>
      <c r="AC1180" s="1">
        <v>3</v>
      </c>
      <c r="AD1180" s="1">
        <f t="shared" si="396"/>
        <v>0</v>
      </c>
      <c r="AE1180" s="1">
        <f t="shared" si="397"/>
        <v>0</v>
      </c>
      <c r="AF1180" s="1">
        <f t="shared" si="398"/>
        <v>0</v>
      </c>
      <c r="AG1180" s="1">
        <f t="shared" si="399"/>
        <v>0</v>
      </c>
      <c r="AH1180" s="1">
        <f t="shared" si="400"/>
        <v>182.5</v>
      </c>
      <c r="AI1180" s="5">
        <f t="shared" si="401"/>
        <v>0.5</v>
      </c>
      <c r="AJ1180" s="5">
        <f t="shared" si="402"/>
        <v>0.69325735992402671</v>
      </c>
      <c r="AK1180" s="5">
        <f t="shared" si="403"/>
        <v>1.0398860398860401</v>
      </c>
      <c r="AL1180" s="5">
        <f t="shared" si="404"/>
        <v>2.5997150997151004</v>
      </c>
      <c r="AM1180" s="5">
        <f t="shared" si="405"/>
        <v>1.2998575498575502</v>
      </c>
      <c r="AN1180" s="5">
        <f t="shared" si="406"/>
        <v>3.8995726495726508</v>
      </c>
      <c r="AO1180" s="1" t="s">
        <v>102</v>
      </c>
    </row>
    <row r="1181" spans="1:41" x14ac:dyDescent="0.25">
      <c r="A1181" s="1" t="s">
        <v>19</v>
      </c>
      <c r="B1181" s="1" t="s">
        <v>54</v>
      </c>
      <c r="C1181" s="1" t="s">
        <v>21</v>
      </c>
      <c r="D1181" s="1" t="s">
        <v>55</v>
      </c>
      <c r="E1181" s="1" t="s">
        <v>96</v>
      </c>
      <c r="F1181" s="1" t="s">
        <v>103</v>
      </c>
      <c r="G1181" s="1" t="s">
        <v>114</v>
      </c>
      <c r="H1181" s="1" t="s">
        <v>254</v>
      </c>
      <c r="I1181" s="1" t="s">
        <v>255</v>
      </c>
      <c r="J1181" s="1" t="s">
        <v>101</v>
      </c>
      <c r="K1181" s="1" t="s">
        <v>116</v>
      </c>
      <c r="L1181" s="1">
        <v>2477290</v>
      </c>
      <c r="M1181" s="1" t="s">
        <v>1325</v>
      </c>
      <c r="N1181" s="8">
        <f>DATE(2018,2,5)</f>
        <v>43136</v>
      </c>
      <c r="O1181" s="8">
        <f>DATE(2020,12,23)</f>
        <v>44188</v>
      </c>
      <c r="P1181" s="1">
        <v>3886</v>
      </c>
      <c r="Q1181" s="1">
        <v>1200</v>
      </c>
      <c r="R1181" s="1">
        <f t="shared" si="389"/>
        <v>3200</v>
      </c>
      <c r="S1181" s="1">
        <v>2.5</v>
      </c>
      <c r="U1181" s="1">
        <f t="shared" si="390"/>
        <v>1053</v>
      </c>
      <c r="V1181" s="7">
        <f t="shared" si="391"/>
        <v>3.0389363722697058</v>
      </c>
      <c r="W1181" s="7">
        <f t="shared" si="392"/>
        <v>1109.2117758784427</v>
      </c>
      <c r="X1181" s="7">
        <f t="shared" si="393"/>
        <v>1.3865147198480534</v>
      </c>
      <c r="AA1181" s="8">
        <f t="shared" si="394"/>
        <v>44927</v>
      </c>
      <c r="AB1181" s="8">
        <f t="shared" si="395"/>
        <v>45291</v>
      </c>
      <c r="AC1181" s="1">
        <v>2</v>
      </c>
      <c r="AD1181" s="1">
        <f t="shared" si="396"/>
        <v>0</v>
      </c>
      <c r="AE1181" s="1">
        <f t="shared" si="397"/>
        <v>0</v>
      </c>
      <c r="AF1181" s="1">
        <f t="shared" si="398"/>
        <v>0</v>
      </c>
      <c r="AG1181" s="1">
        <f t="shared" si="399"/>
        <v>0</v>
      </c>
      <c r="AH1181" s="1">
        <f t="shared" si="400"/>
        <v>182.5</v>
      </c>
      <c r="AI1181" s="5">
        <f t="shared" si="401"/>
        <v>0.5</v>
      </c>
      <c r="AJ1181" s="5">
        <f t="shared" si="402"/>
        <v>0.69325735992402671</v>
      </c>
      <c r="AK1181" s="5">
        <f t="shared" si="403"/>
        <v>0.69325735992402671</v>
      </c>
      <c r="AL1181" s="5">
        <f t="shared" si="404"/>
        <v>1.7331433998100667</v>
      </c>
      <c r="AM1181" s="5">
        <f t="shared" si="405"/>
        <v>0</v>
      </c>
      <c r="AN1181" s="5">
        <f t="shared" si="406"/>
        <v>1.7331433998100667</v>
      </c>
      <c r="AO1181" s="1" t="s">
        <v>102</v>
      </c>
    </row>
    <row r="1182" spans="1:41" x14ac:dyDescent="0.25">
      <c r="A1182" s="1" t="s">
        <v>19</v>
      </c>
      <c r="B1182" s="1" t="s">
        <v>54</v>
      </c>
      <c r="C1182" s="1" t="s">
        <v>21</v>
      </c>
      <c r="D1182" s="1" t="s">
        <v>55</v>
      </c>
      <c r="E1182" s="1" t="s">
        <v>96</v>
      </c>
      <c r="F1182" s="1" t="s">
        <v>103</v>
      </c>
      <c r="G1182" s="1" t="s">
        <v>127</v>
      </c>
      <c r="H1182" s="1" t="s">
        <v>1314</v>
      </c>
      <c r="I1182" s="1" t="s">
        <v>105</v>
      </c>
      <c r="J1182" s="1" t="s">
        <v>106</v>
      </c>
      <c r="L1182" s="1">
        <v>2478007</v>
      </c>
      <c r="M1182" s="1" t="s">
        <v>1326</v>
      </c>
      <c r="N1182" s="8">
        <f>DATE(2018,2,5)</f>
        <v>43136</v>
      </c>
      <c r="O1182" s="8">
        <f>DATE(2020,12,23)</f>
        <v>44188</v>
      </c>
      <c r="P1182" s="1">
        <v>2939</v>
      </c>
      <c r="Q1182" s="1">
        <v>2400</v>
      </c>
      <c r="R1182" s="1">
        <f t="shared" si="389"/>
        <v>2400</v>
      </c>
      <c r="S1182" s="1">
        <v>2.5</v>
      </c>
      <c r="U1182" s="1">
        <f t="shared" si="390"/>
        <v>1053</v>
      </c>
      <c r="V1182" s="7">
        <f t="shared" si="391"/>
        <v>2.2792022792022792</v>
      </c>
      <c r="W1182" s="7">
        <f t="shared" si="392"/>
        <v>831.90883190883187</v>
      </c>
      <c r="X1182" s="7">
        <f t="shared" si="393"/>
        <v>1.0398860398860399</v>
      </c>
      <c r="AA1182" s="8">
        <f t="shared" si="394"/>
        <v>44927</v>
      </c>
      <c r="AB1182" s="8">
        <f t="shared" si="395"/>
        <v>45291</v>
      </c>
      <c r="AC1182" s="1">
        <v>3</v>
      </c>
      <c r="AD1182" s="1">
        <f t="shared" si="396"/>
        <v>0</v>
      </c>
      <c r="AE1182" s="1">
        <f t="shared" si="397"/>
        <v>0</v>
      </c>
      <c r="AF1182" s="1">
        <f t="shared" si="398"/>
        <v>0</v>
      </c>
      <c r="AG1182" s="1">
        <f t="shared" si="399"/>
        <v>0</v>
      </c>
      <c r="AH1182" s="1">
        <f t="shared" si="400"/>
        <v>182.5</v>
      </c>
      <c r="AI1182" s="5">
        <f t="shared" si="401"/>
        <v>0.5</v>
      </c>
      <c r="AJ1182" s="5">
        <f t="shared" si="402"/>
        <v>0.51994301994301995</v>
      </c>
      <c r="AK1182" s="5">
        <f t="shared" si="403"/>
        <v>0.77991452991452992</v>
      </c>
      <c r="AL1182" s="5">
        <f t="shared" si="404"/>
        <v>1.9497863247863247</v>
      </c>
      <c r="AM1182" s="5">
        <f t="shared" si="405"/>
        <v>0.97489316239316237</v>
      </c>
      <c r="AN1182" s="5">
        <f t="shared" si="406"/>
        <v>2.9246794871794872</v>
      </c>
      <c r="AO1182" s="1" t="s">
        <v>102</v>
      </c>
    </row>
    <row r="1183" spans="1:41" x14ac:dyDescent="0.25">
      <c r="A1183" s="1" t="s">
        <v>19</v>
      </c>
      <c r="B1183" s="1" t="s">
        <v>54</v>
      </c>
      <c r="C1183" s="1" t="s">
        <v>21</v>
      </c>
      <c r="D1183" s="1" t="s">
        <v>55</v>
      </c>
      <c r="E1183" s="1" t="s">
        <v>96</v>
      </c>
      <c r="F1183" s="1" t="s">
        <v>103</v>
      </c>
      <c r="G1183" s="1" t="s">
        <v>127</v>
      </c>
      <c r="H1183" s="1" t="s">
        <v>872</v>
      </c>
      <c r="I1183" s="1" t="s">
        <v>157</v>
      </c>
      <c r="J1183" s="1" t="s">
        <v>101</v>
      </c>
      <c r="L1183" s="1">
        <v>2478117</v>
      </c>
      <c r="M1183" s="1" t="s">
        <v>1327</v>
      </c>
      <c r="N1183" s="8">
        <f>DATE(2018,2,5)</f>
        <v>43136</v>
      </c>
      <c r="O1183" s="8">
        <f>DATE(2020,12,23)</f>
        <v>44188</v>
      </c>
      <c r="P1183" s="1">
        <v>2085</v>
      </c>
      <c r="Q1183" s="1">
        <v>1600</v>
      </c>
      <c r="R1183" s="1">
        <f t="shared" si="389"/>
        <v>1600</v>
      </c>
      <c r="S1183" s="1">
        <v>1</v>
      </c>
      <c r="U1183" s="1">
        <f t="shared" si="390"/>
        <v>1053</v>
      </c>
      <c r="V1183" s="7">
        <f t="shared" si="391"/>
        <v>1.5194681861348529</v>
      </c>
      <c r="W1183" s="7">
        <f t="shared" si="392"/>
        <v>554.60588793922136</v>
      </c>
      <c r="X1183" s="7">
        <f t="shared" si="393"/>
        <v>0.69325735992402671</v>
      </c>
      <c r="AA1183" s="8">
        <f t="shared" si="394"/>
        <v>44927</v>
      </c>
      <c r="AB1183" s="8">
        <f t="shared" si="395"/>
        <v>45291</v>
      </c>
      <c r="AC1183" s="1">
        <v>11</v>
      </c>
      <c r="AD1183" s="1">
        <f t="shared" si="396"/>
        <v>0</v>
      </c>
      <c r="AE1183" s="1">
        <f t="shared" si="397"/>
        <v>0</v>
      </c>
      <c r="AF1183" s="1">
        <f t="shared" si="398"/>
        <v>0</v>
      </c>
      <c r="AG1183" s="1">
        <f t="shared" si="399"/>
        <v>0</v>
      </c>
      <c r="AH1183" s="1">
        <f t="shared" si="400"/>
        <v>182.5</v>
      </c>
      <c r="AI1183" s="5">
        <f t="shared" si="401"/>
        <v>0.5</v>
      </c>
      <c r="AJ1183" s="5">
        <f t="shared" si="402"/>
        <v>0.34662867996201335</v>
      </c>
      <c r="AK1183" s="5">
        <f t="shared" si="403"/>
        <v>1.9064577397910734</v>
      </c>
      <c r="AL1183" s="5">
        <f t="shared" si="404"/>
        <v>1.9064577397910734</v>
      </c>
      <c r="AM1183" s="5">
        <f t="shared" si="405"/>
        <v>0</v>
      </c>
      <c r="AN1183" s="5">
        <f t="shared" si="406"/>
        <v>1.9064577397910734</v>
      </c>
      <c r="AO1183" s="1" t="s">
        <v>102</v>
      </c>
    </row>
    <row r="1184" spans="1:41" x14ac:dyDescent="0.25">
      <c r="A1184" s="1" t="s">
        <v>19</v>
      </c>
      <c r="B1184" s="1" t="s">
        <v>54</v>
      </c>
      <c r="C1184" s="1" t="s">
        <v>21</v>
      </c>
      <c r="D1184" s="1" t="s">
        <v>55</v>
      </c>
      <c r="E1184" s="1" t="s">
        <v>96</v>
      </c>
      <c r="F1184" s="1" t="s">
        <v>103</v>
      </c>
      <c r="G1184" s="1" t="s">
        <v>98</v>
      </c>
      <c r="H1184" s="1" t="s">
        <v>1312</v>
      </c>
      <c r="I1184" s="1" t="s">
        <v>105</v>
      </c>
      <c r="J1184" s="1" t="s">
        <v>106</v>
      </c>
      <c r="L1184" s="1">
        <v>2478305</v>
      </c>
      <c r="M1184" s="1" t="s">
        <v>1328</v>
      </c>
      <c r="N1184" s="8">
        <f>DATE(2018,2,5)</f>
        <v>43136</v>
      </c>
      <c r="O1184" s="8">
        <f>DATE(2022,12,23)</f>
        <v>44918</v>
      </c>
      <c r="P1184" s="1">
        <v>4579</v>
      </c>
      <c r="Q1184" s="1">
        <v>3600</v>
      </c>
      <c r="R1184" s="1">
        <f t="shared" si="389"/>
        <v>3600</v>
      </c>
      <c r="S1184" s="1">
        <v>2.5</v>
      </c>
      <c r="U1184" s="1">
        <f t="shared" si="390"/>
        <v>1783</v>
      </c>
      <c r="V1184" s="7">
        <f t="shared" si="391"/>
        <v>2.0190689848569825</v>
      </c>
      <c r="W1184" s="7">
        <f t="shared" si="392"/>
        <v>736.96017947279859</v>
      </c>
      <c r="X1184" s="7">
        <f t="shared" si="393"/>
        <v>0.92120022434099824</v>
      </c>
      <c r="AA1184" s="8">
        <f t="shared" si="394"/>
        <v>44927</v>
      </c>
      <c r="AB1184" s="8">
        <f t="shared" si="395"/>
        <v>45291</v>
      </c>
      <c r="AC1184" s="1">
        <v>24</v>
      </c>
      <c r="AD1184" s="1">
        <f t="shared" si="396"/>
        <v>0</v>
      </c>
      <c r="AE1184" s="1">
        <f t="shared" si="397"/>
        <v>0</v>
      </c>
      <c r="AF1184" s="1">
        <f t="shared" si="398"/>
        <v>0</v>
      </c>
      <c r="AG1184" s="1">
        <f t="shared" si="399"/>
        <v>0</v>
      </c>
      <c r="AH1184" s="1">
        <f t="shared" si="400"/>
        <v>182.5</v>
      </c>
      <c r="AI1184" s="5">
        <f t="shared" si="401"/>
        <v>0.5</v>
      </c>
      <c r="AJ1184" s="5">
        <f t="shared" si="402"/>
        <v>0.46060011217049912</v>
      </c>
      <c r="AK1184" s="5">
        <f t="shared" si="403"/>
        <v>5.5272013460459899</v>
      </c>
      <c r="AL1184" s="5">
        <f t="shared" si="404"/>
        <v>13.818003365114976</v>
      </c>
      <c r="AM1184" s="5">
        <f t="shared" si="405"/>
        <v>6.9090016825574878</v>
      </c>
      <c r="AN1184" s="5">
        <f t="shared" si="406"/>
        <v>20.727005047672463</v>
      </c>
      <c r="AO1184" s="1" t="s">
        <v>102</v>
      </c>
    </row>
    <row r="1185" spans="1:41" x14ac:dyDescent="0.25">
      <c r="A1185" s="1" t="s">
        <v>19</v>
      </c>
      <c r="B1185" s="1" t="s">
        <v>54</v>
      </c>
      <c r="C1185" s="1" t="s">
        <v>21</v>
      </c>
      <c r="D1185" s="1" t="s">
        <v>55</v>
      </c>
      <c r="E1185" s="1" t="s">
        <v>96</v>
      </c>
      <c r="F1185" s="1" t="s">
        <v>103</v>
      </c>
      <c r="G1185" s="1" t="s">
        <v>185</v>
      </c>
      <c r="H1185" s="1" t="s">
        <v>493</v>
      </c>
      <c r="I1185" s="1" t="s">
        <v>174</v>
      </c>
      <c r="J1185" s="1" t="s">
        <v>101</v>
      </c>
      <c r="L1185" s="1">
        <v>2503989</v>
      </c>
      <c r="M1185" s="1" t="s">
        <v>1329</v>
      </c>
      <c r="N1185" s="8">
        <f>DATE(2018,6,15)</f>
        <v>43266</v>
      </c>
      <c r="O1185" s="8">
        <f>DATE(2019,12,10)</f>
        <v>43809</v>
      </c>
      <c r="P1185" s="1">
        <v>435</v>
      </c>
      <c r="Q1185" s="1">
        <v>360</v>
      </c>
      <c r="R1185" s="1">
        <f t="shared" si="389"/>
        <v>360</v>
      </c>
      <c r="S1185" s="1">
        <v>2</v>
      </c>
      <c r="U1185" s="1">
        <f t="shared" si="390"/>
        <v>544</v>
      </c>
      <c r="V1185" s="7">
        <f t="shared" si="391"/>
        <v>0.66176470588235292</v>
      </c>
      <c r="W1185" s="7">
        <f t="shared" si="392"/>
        <v>241.54411764705881</v>
      </c>
      <c r="X1185" s="7">
        <f t="shared" si="393"/>
        <v>0.30193014705882354</v>
      </c>
      <c r="AA1185" s="8">
        <f t="shared" si="394"/>
        <v>44927</v>
      </c>
      <c r="AB1185" s="8">
        <f t="shared" si="395"/>
        <v>45291</v>
      </c>
      <c r="AC1185" s="1">
        <v>30</v>
      </c>
      <c r="AD1185" s="1">
        <f t="shared" si="396"/>
        <v>0</v>
      </c>
      <c r="AE1185" s="1">
        <f t="shared" si="397"/>
        <v>0</v>
      </c>
      <c r="AF1185" s="1">
        <f t="shared" si="398"/>
        <v>0</v>
      </c>
      <c r="AG1185" s="1">
        <f t="shared" si="399"/>
        <v>0</v>
      </c>
      <c r="AH1185" s="1">
        <f t="shared" si="400"/>
        <v>182.5</v>
      </c>
      <c r="AI1185" s="5">
        <f t="shared" si="401"/>
        <v>0.5</v>
      </c>
      <c r="AJ1185" s="5">
        <f t="shared" si="402"/>
        <v>0.15096507352941177</v>
      </c>
      <c r="AK1185" s="5">
        <f t="shared" si="403"/>
        <v>0</v>
      </c>
      <c r="AL1185" s="5">
        <f t="shared" si="404"/>
        <v>0</v>
      </c>
      <c r="AM1185" s="5">
        <f t="shared" si="405"/>
        <v>0</v>
      </c>
      <c r="AN1185" s="5">
        <f t="shared" si="406"/>
        <v>0</v>
      </c>
      <c r="AO1185" s="1" t="s">
        <v>102</v>
      </c>
    </row>
    <row r="1186" spans="1:41" x14ac:dyDescent="0.25">
      <c r="A1186" s="1" t="s">
        <v>19</v>
      </c>
      <c r="B1186" s="1" t="s">
        <v>54</v>
      </c>
      <c r="C1186" s="1" t="s">
        <v>21</v>
      </c>
      <c r="D1186" s="1" t="s">
        <v>55</v>
      </c>
      <c r="E1186" s="1" t="s">
        <v>96</v>
      </c>
      <c r="F1186" s="1" t="s">
        <v>103</v>
      </c>
      <c r="G1186" s="1" t="s">
        <v>185</v>
      </c>
      <c r="H1186" s="1" t="s">
        <v>1330</v>
      </c>
      <c r="I1186" s="1" t="s">
        <v>157</v>
      </c>
      <c r="J1186" s="1" t="s">
        <v>101</v>
      </c>
      <c r="L1186" s="1">
        <v>2515862</v>
      </c>
      <c r="M1186" s="1" t="s">
        <v>1331</v>
      </c>
      <c r="N1186" s="8">
        <f>DATE(2018,8,30)</f>
        <v>43342</v>
      </c>
      <c r="O1186" s="8">
        <f>DATE(2020,2,28)</f>
        <v>43889</v>
      </c>
      <c r="P1186" s="1">
        <v>435</v>
      </c>
      <c r="Q1186" s="1">
        <v>360</v>
      </c>
      <c r="R1186" s="1">
        <f t="shared" si="389"/>
        <v>360</v>
      </c>
      <c r="S1186" s="1">
        <v>2.5</v>
      </c>
      <c r="U1186" s="1">
        <f t="shared" si="390"/>
        <v>548</v>
      </c>
      <c r="V1186" s="7">
        <f t="shared" si="391"/>
        <v>0.65693430656934304</v>
      </c>
      <c r="W1186" s="7">
        <f t="shared" si="392"/>
        <v>239.78102189781021</v>
      </c>
      <c r="X1186" s="7">
        <f t="shared" si="393"/>
        <v>0.29972627737226276</v>
      </c>
      <c r="AA1186" s="8">
        <f t="shared" si="394"/>
        <v>44927</v>
      </c>
      <c r="AB1186" s="8">
        <f t="shared" si="395"/>
        <v>45291</v>
      </c>
      <c r="AC1186" s="1">
        <v>32</v>
      </c>
      <c r="AD1186" s="1">
        <f t="shared" si="396"/>
        <v>0</v>
      </c>
      <c r="AE1186" s="1">
        <f t="shared" si="397"/>
        <v>0</v>
      </c>
      <c r="AF1186" s="1">
        <f t="shared" si="398"/>
        <v>0</v>
      </c>
      <c r="AG1186" s="1">
        <f t="shared" si="399"/>
        <v>0</v>
      </c>
      <c r="AH1186" s="1">
        <f t="shared" si="400"/>
        <v>182.5</v>
      </c>
      <c r="AI1186" s="5">
        <f t="shared" si="401"/>
        <v>0.5</v>
      </c>
      <c r="AJ1186" s="5">
        <f t="shared" si="402"/>
        <v>0.14986313868613138</v>
      </c>
      <c r="AK1186" s="5">
        <f t="shared" si="403"/>
        <v>2.3978102189781021</v>
      </c>
      <c r="AL1186" s="5">
        <f t="shared" si="404"/>
        <v>5.9945255474452548</v>
      </c>
      <c r="AM1186" s="5">
        <f t="shared" si="405"/>
        <v>0</v>
      </c>
      <c r="AN1186" s="5">
        <f t="shared" si="406"/>
        <v>5.9945255474452548</v>
      </c>
      <c r="AO1186" s="1" t="s">
        <v>102</v>
      </c>
    </row>
    <row r="1187" spans="1:41" x14ac:dyDescent="0.25">
      <c r="A1187" s="1" t="s">
        <v>19</v>
      </c>
      <c r="B1187" s="1" t="s">
        <v>54</v>
      </c>
      <c r="C1187" s="1" t="s">
        <v>21</v>
      </c>
      <c r="D1187" s="1" t="s">
        <v>55</v>
      </c>
      <c r="E1187" s="1" t="s">
        <v>96</v>
      </c>
      <c r="F1187" s="1" t="s">
        <v>103</v>
      </c>
      <c r="G1187" s="1" t="s">
        <v>114</v>
      </c>
      <c r="H1187" s="1" t="s">
        <v>119</v>
      </c>
      <c r="I1187" s="1" t="s">
        <v>105</v>
      </c>
      <c r="J1187" s="1" t="s">
        <v>106</v>
      </c>
      <c r="K1187" s="1" t="s">
        <v>116</v>
      </c>
      <c r="L1187" s="1">
        <v>2571282</v>
      </c>
      <c r="M1187" s="1" t="s">
        <v>1332</v>
      </c>
      <c r="N1187" s="8">
        <f>DATE(2019,2,4)</f>
        <v>43500</v>
      </c>
      <c r="O1187" s="8">
        <f>DATE(2021,12,20)</f>
        <v>44550</v>
      </c>
      <c r="P1187" s="1">
        <v>3818</v>
      </c>
      <c r="Q1187" s="1">
        <v>1200</v>
      </c>
      <c r="R1187" s="1">
        <f t="shared" si="389"/>
        <v>3200</v>
      </c>
      <c r="S1187" s="1">
        <v>2.5</v>
      </c>
      <c r="U1187" s="1">
        <f t="shared" si="390"/>
        <v>1051</v>
      </c>
      <c r="V1187" s="7">
        <f t="shared" si="391"/>
        <v>3.044719314938154</v>
      </c>
      <c r="W1187" s="7">
        <f t="shared" si="392"/>
        <v>1111.3225499524262</v>
      </c>
      <c r="X1187" s="7">
        <f t="shared" si="393"/>
        <v>1.3891531874405327</v>
      </c>
      <c r="AA1187" s="8">
        <f t="shared" si="394"/>
        <v>44927</v>
      </c>
      <c r="AB1187" s="8">
        <f t="shared" si="395"/>
        <v>45291</v>
      </c>
      <c r="AC1187" s="1">
        <v>2</v>
      </c>
      <c r="AD1187" s="1">
        <f t="shared" si="396"/>
        <v>0</v>
      </c>
      <c r="AE1187" s="1">
        <f t="shared" si="397"/>
        <v>0</v>
      </c>
      <c r="AF1187" s="1">
        <f t="shared" si="398"/>
        <v>0</v>
      </c>
      <c r="AG1187" s="1">
        <f t="shared" si="399"/>
        <v>0</v>
      </c>
      <c r="AH1187" s="1">
        <f t="shared" si="400"/>
        <v>182.5</v>
      </c>
      <c r="AI1187" s="5">
        <f t="shared" si="401"/>
        <v>0.5</v>
      </c>
      <c r="AJ1187" s="5">
        <f t="shared" si="402"/>
        <v>0.69457659372026637</v>
      </c>
      <c r="AK1187" s="5">
        <f t="shared" si="403"/>
        <v>0.69457659372026637</v>
      </c>
      <c r="AL1187" s="5">
        <f t="shared" si="404"/>
        <v>1.7364414843006659</v>
      </c>
      <c r="AM1187" s="5">
        <f t="shared" si="405"/>
        <v>0.86822074215033296</v>
      </c>
      <c r="AN1187" s="5">
        <f t="shared" si="406"/>
        <v>2.6046622264509987</v>
      </c>
      <c r="AO1187" s="1" t="s">
        <v>102</v>
      </c>
    </row>
    <row r="1188" spans="1:41" x14ac:dyDescent="0.25">
      <c r="A1188" s="1" t="s">
        <v>19</v>
      </c>
      <c r="B1188" s="1" t="s">
        <v>54</v>
      </c>
      <c r="C1188" s="1" t="s">
        <v>21</v>
      </c>
      <c r="D1188" s="1" t="s">
        <v>55</v>
      </c>
      <c r="E1188" s="1" t="s">
        <v>96</v>
      </c>
      <c r="F1188" s="1" t="s">
        <v>103</v>
      </c>
      <c r="G1188" s="1" t="s">
        <v>114</v>
      </c>
      <c r="H1188" s="1" t="s">
        <v>254</v>
      </c>
      <c r="I1188" s="1" t="s">
        <v>255</v>
      </c>
      <c r="J1188" s="1" t="s">
        <v>101</v>
      </c>
      <c r="K1188" s="1" t="s">
        <v>116</v>
      </c>
      <c r="L1188" s="1">
        <v>2571289</v>
      </c>
      <c r="M1188" s="1" t="s">
        <v>1333</v>
      </c>
      <c r="N1188" s="8">
        <f>DATE(2019,2,4)</f>
        <v>43500</v>
      </c>
      <c r="O1188" s="8">
        <f>DATE(2021,12,20)</f>
        <v>44550</v>
      </c>
      <c r="P1188" s="1">
        <v>3886</v>
      </c>
      <c r="Q1188" s="1">
        <v>1200</v>
      </c>
      <c r="R1188" s="1">
        <f t="shared" si="389"/>
        <v>3200</v>
      </c>
      <c r="S1188" s="1">
        <v>2.5</v>
      </c>
      <c r="U1188" s="1">
        <f t="shared" si="390"/>
        <v>1051</v>
      </c>
      <c r="V1188" s="7">
        <f t="shared" si="391"/>
        <v>3.044719314938154</v>
      </c>
      <c r="W1188" s="7">
        <f t="shared" si="392"/>
        <v>1111.3225499524262</v>
      </c>
      <c r="X1188" s="7">
        <f t="shared" si="393"/>
        <v>1.3891531874405327</v>
      </c>
      <c r="AA1188" s="8">
        <f t="shared" si="394"/>
        <v>44927</v>
      </c>
      <c r="AB1188" s="8">
        <f t="shared" si="395"/>
        <v>45291</v>
      </c>
      <c r="AC1188" s="1">
        <v>11</v>
      </c>
      <c r="AD1188" s="1">
        <f t="shared" si="396"/>
        <v>0</v>
      </c>
      <c r="AE1188" s="1">
        <f t="shared" si="397"/>
        <v>0</v>
      </c>
      <c r="AF1188" s="1">
        <f t="shared" si="398"/>
        <v>0</v>
      </c>
      <c r="AG1188" s="1">
        <f t="shared" si="399"/>
        <v>0</v>
      </c>
      <c r="AH1188" s="1">
        <f t="shared" si="400"/>
        <v>182.5</v>
      </c>
      <c r="AI1188" s="5">
        <f t="shared" si="401"/>
        <v>0.5</v>
      </c>
      <c r="AJ1188" s="5">
        <f t="shared" si="402"/>
        <v>0.69457659372026637</v>
      </c>
      <c r="AK1188" s="5">
        <f t="shared" si="403"/>
        <v>3.820171265461465</v>
      </c>
      <c r="AL1188" s="5">
        <f t="shared" si="404"/>
        <v>9.5504281636536632</v>
      </c>
      <c r="AM1188" s="5">
        <f t="shared" si="405"/>
        <v>0</v>
      </c>
      <c r="AN1188" s="5">
        <f t="shared" si="406"/>
        <v>9.5504281636536632</v>
      </c>
      <c r="AO1188" s="1" t="s">
        <v>102</v>
      </c>
    </row>
    <row r="1189" spans="1:41" x14ac:dyDescent="0.25">
      <c r="A1189" s="1" t="s">
        <v>19</v>
      </c>
      <c r="B1189" s="1" t="s">
        <v>54</v>
      </c>
      <c r="C1189" s="1" t="s">
        <v>21</v>
      </c>
      <c r="D1189" s="1" t="s">
        <v>55</v>
      </c>
      <c r="E1189" s="1" t="s">
        <v>96</v>
      </c>
      <c r="F1189" s="1" t="s">
        <v>103</v>
      </c>
      <c r="G1189" s="1" t="s">
        <v>98</v>
      </c>
      <c r="H1189" s="1" t="s">
        <v>1312</v>
      </c>
      <c r="I1189" s="1" t="s">
        <v>105</v>
      </c>
      <c r="J1189" s="1" t="s">
        <v>106</v>
      </c>
      <c r="L1189" s="1">
        <v>2573182</v>
      </c>
      <c r="M1189" s="1" t="s">
        <v>1334</v>
      </c>
      <c r="N1189" s="8">
        <f>DATE(2019,2,4)</f>
        <v>43500</v>
      </c>
      <c r="O1189" s="8">
        <f>DATE(2023,12,20)</f>
        <v>45280</v>
      </c>
      <c r="P1189" s="1">
        <v>4579</v>
      </c>
      <c r="Q1189" s="1">
        <v>3600</v>
      </c>
      <c r="R1189" s="1">
        <f t="shared" si="389"/>
        <v>3600</v>
      </c>
      <c r="S1189" s="1">
        <v>2.5</v>
      </c>
      <c r="U1189" s="1">
        <f t="shared" si="390"/>
        <v>1781</v>
      </c>
      <c r="V1189" s="7">
        <f t="shared" si="391"/>
        <v>2.0213363279056709</v>
      </c>
      <c r="W1189" s="7">
        <f t="shared" si="392"/>
        <v>737.78775968556988</v>
      </c>
      <c r="X1189" s="7">
        <f t="shared" si="393"/>
        <v>0.92223469960696236</v>
      </c>
      <c r="AA1189" s="8">
        <f t="shared" si="394"/>
        <v>44927</v>
      </c>
      <c r="AB1189" s="8">
        <f t="shared" si="395"/>
        <v>45291</v>
      </c>
      <c r="AC1189" s="1">
        <v>28</v>
      </c>
      <c r="AD1189" s="1">
        <f t="shared" si="396"/>
        <v>0</v>
      </c>
      <c r="AE1189" s="1">
        <f t="shared" si="397"/>
        <v>0</v>
      </c>
      <c r="AF1189" s="1">
        <f t="shared" si="398"/>
        <v>354</v>
      </c>
      <c r="AG1189" s="1">
        <f t="shared" si="399"/>
        <v>0</v>
      </c>
      <c r="AH1189" s="1">
        <f t="shared" si="400"/>
        <v>0</v>
      </c>
      <c r="AI1189" s="5">
        <f t="shared" si="401"/>
        <v>0.96986301369863015</v>
      </c>
      <c r="AJ1189" s="5">
        <f t="shared" si="402"/>
        <v>0.89444132509825935</v>
      </c>
      <c r="AK1189" s="5">
        <f t="shared" si="403"/>
        <v>25.044357102751263</v>
      </c>
      <c r="AL1189" s="5">
        <f t="shared" si="404"/>
        <v>62.610892756878158</v>
      </c>
      <c r="AM1189" s="5">
        <f t="shared" si="405"/>
        <v>31.305446378439079</v>
      </c>
      <c r="AN1189" s="5">
        <f t="shared" si="406"/>
        <v>93.91633913531723</v>
      </c>
      <c r="AO1189" s="1" t="s">
        <v>102</v>
      </c>
    </row>
    <row r="1190" spans="1:41" x14ac:dyDescent="0.25">
      <c r="A1190" s="1" t="s">
        <v>19</v>
      </c>
      <c r="B1190" s="1" t="s">
        <v>54</v>
      </c>
      <c r="C1190" s="1" t="s">
        <v>21</v>
      </c>
      <c r="D1190" s="1" t="s">
        <v>55</v>
      </c>
      <c r="E1190" s="1" t="s">
        <v>96</v>
      </c>
      <c r="F1190" s="1" t="s">
        <v>103</v>
      </c>
      <c r="G1190" s="1" t="s">
        <v>127</v>
      </c>
      <c r="H1190" s="1" t="s">
        <v>1314</v>
      </c>
      <c r="I1190" s="1" t="s">
        <v>105</v>
      </c>
      <c r="J1190" s="1" t="s">
        <v>106</v>
      </c>
      <c r="L1190" s="1">
        <v>2573286</v>
      </c>
      <c r="M1190" s="1" t="s">
        <v>1335</v>
      </c>
      <c r="N1190" s="8">
        <f>DATE(2019,2,4)</f>
        <v>43500</v>
      </c>
      <c r="O1190" s="8">
        <f>DATE(2021,12,20)</f>
        <v>44550</v>
      </c>
      <c r="P1190" s="1">
        <v>2640</v>
      </c>
      <c r="Q1190" s="1">
        <v>2400</v>
      </c>
      <c r="R1190" s="1">
        <f t="shared" si="389"/>
        <v>2400</v>
      </c>
      <c r="S1190" s="1">
        <v>2.5</v>
      </c>
      <c r="U1190" s="1">
        <f t="shared" si="390"/>
        <v>1051</v>
      </c>
      <c r="V1190" s="7">
        <f t="shared" si="391"/>
        <v>2.2835394862036158</v>
      </c>
      <c r="W1190" s="7">
        <f t="shared" si="392"/>
        <v>833.49191246431974</v>
      </c>
      <c r="X1190" s="7">
        <f t="shared" si="393"/>
        <v>1.0418648905803998</v>
      </c>
      <c r="AA1190" s="8">
        <f t="shared" si="394"/>
        <v>44927</v>
      </c>
      <c r="AB1190" s="8">
        <f t="shared" si="395"/>
        <v>45291</v>
      </c>
      <c r="AC1190" s="1">
        <v>19</v>
      </c>
      <c r="AD1190" s="1">
        <f t="shared" si="396"/>
        <v>0</v>
      </c>
      <c r="AE1190" s="1">
        <f t="shared" si="397"/>
        <v>0</v>
      </c>
      <c r="AF1190" s="1">
        <f t="shared" si="398"/>
        <v>0</v>
      </c>
      <c r="AG1190" s="1">
        <f t="shared" si="399"/>
        <v>0</v>
      </c>
      <c r="AH1190" s="1">
        <f t="shared" si="400"/>
        <v>182.5</v>
      </c>
      <c r="AI1190" s="5">
        <f t="shared" si="401"/>
        <v>0.5</v>
      </c>
      <c r="AJ1190" s="5">
        <f t="shared" si="402"/>
        <v>0.52093244529019989</v>
      </c>
      <c r="AK1190" s="5">
        <f t="shared" si="403"/>
        <v>4.9488582302568993</v>
      </c>
      <c r="AL1190" s="5">
        <f t="shared" si="404"/>
        <v>12.372145575642248</v>
      </c>
      <c r="AM1190" s="5">
        <f t="shared" si="405"/>
        <v>6.1860727878211241</v>
      </c>
      <c r="AN1190" s="5">
        <f t="shared" si="406"/>
        <v>18.558218363463372</v>
      </c>
      <c r="AO1190" s="1" t="s">
        <v>102</v>
      </c>
    </row>
    <row r="1191" spans="1:41" x14ac:dyDescent="0.25">
      <c r="A1191" s="1" t="s">
        <v>19</v>
      </c>
      <c r="B1191" s="1" t="s">
        <v>54</v>
      </c>
      <c r="C1191" s="1" t="s">
        <v>21</v>
      </c>
      <c r="D1191" s="1" t="s">
        <v>55</v>
      </c>
      <c r="E1191" s="1" t="s">
        <v>96</v>
      </c>
      <c r="F1191" s="1" t="s">
        <v>103</v>
      </c>
      <c r="G1191" s="1" t="s">
        <v>127</v>
      </c>
      <c r="H1191" s="1" t="s">
        <v>872</v>
      </c>
      <c r="I1191" s="1" t="s">
        <v>157</v>
      </c>
      <c r="J1191" s="1" t="s">
        <v>101</v>
      </c>
      <c r="L1191" s="1">
        <v>2573288</v>
      </c>
      <c r="M1191" s="1" t="s">
        <v>1336</v>
      </c>
      <c r="N1191" s="8">
        <f>DATE(2019,2,4)</f>
        <v>43500</v>
      </c>
      <c r="O1191" s="8">
        <f>DATE(2021,12,20)</f>
        <v>44550</v>
      </c>
      <c r="P1191" s="1">
        <v>2085</v>
      </c>
      <c r="Q1191" s="1">
        <v>1600</v>
      </c>
      <c r="R1191" s="1">
        <f t="shared" si="389"/>
        <v>1600</v>
      </c>
      <c r="S1191" s="1">
        <v>1</v>
      </c>
      <c r="U1191" s="1">
        <f t="shared" si="390"/>
        <v>1051</v>
      </c>
      <c r="V1191" s="7">
        <f t="shared" si="391"/>
        <v>1.522359657469077</v>
      </c>
      <c r="W1191" s="7">
        <f t="shared" si="392"/>
        <v>555.66127497621312</v>
      </c>
      <c r="X1191" s="7">
        <f t="shared" si="393"/>
        <v>0.69457659372026637</v>
      </c>
      <c r="AA1191" s="8">
        <f t="shared" si="394"/>
        <v>44927</v>
      </c>
      <c r="AB1191" s="8">
        <f t="shared" si="395"/>
        <v>45291</v>
      </c>
      <c r="AC1191" s="1">
        <v>14</v>
      </c>
      <c r="AD1191" s="1">
        <f t="shared" si="396"/>
        <v>0</v>
      </c>
      <c r="AE1191" s="1">
        <f t="shared" si="397"/>
        <v>0</v>
      </c>
      <c r="AF1191" s="1">
        <f t="shared" si="398"/>
        <v>0</v>
      </c>
      <c r="AG1191" s="1">
        <f t="shared" si="399"/>
        <v>0</v>
      </c>
      <c r="AH1191" s="1">
        <f t="shared" si="400"/>
        <v>182.5</v>
      </c>
      <c r="AI1191" s="5">
        <f t="shared" si="401"/>
        <v>0.5</v>
      </c>
      <c r="AJ1191" s="5">
        <f t="shared" si="402"/>
        <v>0.34728829686013318</v>
      </c>
      <c r="AK1191" s="5">
        <f t="shared" si="403"/>
        <v>2.4310180780209323</v>
      </c>
      <c r="AL1191" s="5">
        <f t="shared" si="404"/>
        <v>2.4310180780209323</v>
      </c>
      <c r="AM1191" s="5">
        <f t="shared" si="405"/>
        <v>0</v>
      </c>
      <c r="AN1191" s="5">
        <f t="shared" si="406"/>
        <v>2.4310180780209323</v>
      </c>
      <c r="AO1191" s="1" t="s">
        <v>102</v>
      </c>
    </row>
    <row r="1192" spans="1:41" x14ac:dyDescent="0.25">
      <c r="A1192" s="1" t="s">
        <v>19</v>
      </c>
      <c r="B1192" s="1" t="s">
        <v>54</v>
      </c>
      <c r="C1192" s="1" t="s">
        <v>21</v>
      </c>
      <c r="D1192" s="1" t="s">
        <v>55</v>
      </c>
      <c r="E1192" s="1" t="s">
        <v>96</v>
      </c>
      <c r="F1192" s="1" t="s">
        <v>103</v>
      </c>
      <c r="G1192" s="1" t="s">
        <v>114</v>
      </c>
      <c r="H1192" s="1" t="s">
        <v>119</v>
      </c>
      <c r="I1192" s="1" t="s">
        <v>105</v>
      </c>
      <c r="J1192" s="1" t="s">
        <v>106</v>
      </c>
      <c r="K1192" s="1" t="s">
        <v>116</v>
      </c>
      <c r="L1192" s="1">
        <v>2675278</v>
      </c>
      <c r="M1192" s="1" t="s">
        <v>1281</v>
      </c>
      <c r="N1192" s="8">
        <f>DATE(2020,2,3)</f>
        <v>43864</v>
      </c>
      <c r="O1192" s="8">
        <f>DATE(2022,12,20)</f>
        <v>44915</v>
      </c>
      <c r="P1192" s="1">
        <v>3818</v>
      </c>
      <c r="Q1192" s="1">
        <v>1200</v>
      </c>
      <c r="R1192" s="1">
        <f t="shared" si="389"/>
        <v>3200</v>
      </c>
      <c r="S1192" s="1">
        <v>2.5</v>
      </c>
      <c r="U1192" s="1">
        <f t="shared" si="390"/>
        <v>1052</v>
      </c>
      <c r="V1192" s="7">
        <f t="shared" si="391"/>
        <v>3.041825095057034</v>
      </c>
      <c r="W1192" s="7">
        <f t="shared" si="392"/>
        <v>1110.2661596958174</v>
      </c>
      <c r="X1192" s="7">
        <f t="shared" si="393"/>
        <v>1.3878326996197716</v>
      </c>
      <c r="AA1192" s="8">
        <f t="shared" si="394"/>
        <v>44927</v>
      </c>
      <c r="AB1192" s="8">
        <f t="shared" si="395"/>
        <v>45291</v>
      </c>
      <c r="AC1192" s="1">
        <v>11</v>
      </c>
      <c r="AD1192" s="1">
        <f t="shared" si="396"/>
        <v>0</v>
      </c>
      <c r="AE1192" s="1">
        <f t="shared" si="397"/>
        <v>0</v>
      </c>
      <c r="AF1192" s="1">
        <f t="shared" si="398"/>
        <v>0</v>
      </c>
      <c r="AG1192" s="1">
        <f t="shared" si="399"/>
        <v>0</v>
      </c>
      <c r="AH1192" s="1">
        <f t="shared" si="400"/>
        <v>182.5</v>
      </c>
      <c r="AI1192" s="5">
        <f t="shared" si="401"/>
        <v>0.5</v>
      </c>
      <c r="AJ1192" s="5">
        <f t="shared" si="402"/>
        <v>0.69391634980988581</v>
      </c>
      <c r="AK1192" s="5">
        <f t="shared" si="403"/>
        <v>3.8165399239543718</v>
      </c>
      <c r="AL1192" s="5">
        <f t="shared" si="404"/>
        <v>9.5413498098859293</v>
      </c>
      <c r="AM1192" s="5">
        <f t="shared" si="405"/>
        <v>4.7706749049429646</v>
      </c>
      <c r="AN1192" s="5">
        <f t="shared" si="406"/>
        <v>14.312024714828894</v>
      </c>
      <c r="AO1192" s="1" t="s">
        <v>102</v>
      </c>
    </row>
    <row r="1193" spans="1:41" x14ac:dyDescent="0.25">
      <c r="A1193" s="1" t="s">
        <v>19</v>
      </c>
      <c r="B1193" s="1" t="s">
        <v>54</v>
      </c>
      <c r="C1193" s="1" t="s">
        <v>21</v>
      </c>
      <c r="D1193" s="1" t="s">
        <v>55</v>
      </c>
      <c r="E1193" s="1" t="s">
        <v>96</v>
      </c>
      <c r="F1193" s="1" t="s">
        <v>103</v>
      </c>
      <c r="G1193" s="1" t="s">
        <v>114</v>
      </c>
      <c r="H1193" s="1" t="s">
        <v>254</v>
      </c>
      <c r="I1193" s="1" t="s">
        <v>255</v>
      </c>
      <c r="J1193" s="1" t="s">
        <v>101</v>
      </c>
      <c r="K1193" s="1" t="s">
        <v>116</v>
      </c>
      <c r="L1193" s="1">
        <v>2675280</v>
      </c>
      <c r="M1193" s="1" t="s">
        <v>1337</v>
      </c>
      <c r="N1193" s="8">
        <f>DATE(2020,2,3)</f>
        <v>43864</v>
      </c>
      <c r="O1193" s="8">
        <f>DATE(2022,12,20)</f>
        <v>44915</v>
      </c>
      <c r="P1193" s="1">
        <v>3886</v>
      </c>
      <c r="Q1193" s="1">
        <v>1200</v>
      </c>
      <c r="R1193" s="1">
        <f t="shared" si="389"/>
        <v>3200</v>
      </c>
      <c r="S1193" s="1">
        <v>2.5</v>
      </c>
      <c r="U1193" s="1">
        <f t="shared" si="390"/>
        <v>1052</v>
      </c>
      <c r="V1193" s="7">
        <f t="shared" si="391"/>
        <v>3.041825095057034</v>
      </c>
      <c r="W1193" s="7">
        <f t="shared" si="392"/>
        <v>1110.2661596958174</v>
      </c>
      <c r="X1193" s="7">
        <f t="shared" si="393"/>
        <v>1.3878326996197716</v>
      </c>
      <c r="AA1193" s="8">
        <f t="shared" si="394"/>
        <v>44927</v>
      </c>
      <c r="AB1193" s="8">
        <f t="shared" si="395"/>
        <v>45291</v>
      </c>
      <c r="AC1193" s="1">
        <v>8</v>
      </c>
      <c r="AD1193" s="1">
        <f t="shared" si="396"/>
        <v>0</v>
      </c>
      <c r="AE1193" s="1">
        <f t="shared" si="397"/>
        <v>0</v>
      </c>
      <c r="AF1193" s="1">
        <f t="shared" si="398"/>
        <v>0</v>
      </c>
      <c r="AG1193" s="1">
        <f t="shared" si="399"/>
        <v>0</v>
      </c>
      <c r="AH1193" s="1">
        <f t="shared" si="400"/>
        <v>182.5</v>
      </c>
      <c r="AI1193" s="5">
        <f t="shared" si="401"/>
        <v>0.5</v>
      </c>
      <c r="AJ1193" s="5">
        <f t="shared" si="402"/>
        <v>0.69391634980988581</v>
      </c>
      <c r="AK1193" s="5">
        <f t="shared" si="403"/>
        <v>2.7756653992395433</v>
      </c>
      <c r="AL1193" s="5">
        <f t="shared" si="404"/>
        <v>6.9391634980988579</v>
      </c>
      <c r="AM1193" s="5">
        <f t="shared" si="405"/>
        <v>0</v>
      </c>
      <c r="AN1193" s="5">
        <f t="shared" si="406"/>
        <v>6.9391634980988579</v>
      </c>
      <c r="AO1193" s="1" t="s">
        <v>102</v>
      </c>
    </row>
    <row r="1194" spans="1:41" x14ac:dyDescent="0.25">
      <c r="A1194" s="1" t="s">
        <v>19</v>
      </c>
      <c r="B1194" s="1" t="s">
        <v>54</v>
      </c>
      <c r="C1194" s="1" t="s">
        <v>21</v>
      </c>
      <c r="D1194" s="1" t="s">
        <v>55</v>
      </c>
      <c r="E1194" s="1" t="s">
        <v>96</v>
      </c>
      <c r="F1194" s="1" t="s">
        <v>103</v>
      </c>
      <c r="G1194" s="1" t="s">
        <v>98</v>
      </c>
      <c r="H1194" s="1" t="s">
        <v>1312</v>
      </c>
      <c r="I1194" s="1" t="s">
        <v>105</v>
      </c>
      <c r="J1194" s="1" t="s">
        <v>106</v>
      </c>
      <c r="L1194" s="1">
        <v>2675557</v>
      </c>
      <c r="M1194" s="1" t="s">
        <v>1338</v>
      </c>
      <c r="N1194" s="8">
        <f>DATE(2020,2,3)</f>
        <v>43864</v>
      </c>
      <c r="O1194" s="8">
        <f>DATE(2024,12,20)</f>
        <v>45646</v>
      </c>
      <c r="P1194" s="1">
        <v>4579</v>
      </c>
      <c r="Q1194" s="1">
        <v>3600</v>
      </c>
      <c r="R1194" s="1">
        <f t="shared" si="389"/>
        <v>3600</v>
      </c>
      <c r="S1194" s="1">
        <v>2.5</v>
      </c>
      <c r="U1194" s="1">
        <f t="shared" si="390"/>
        <v>1783</v>
      </c>
      <c r="V1194" s="7">
        <f t="shared" si="391"/>
        <v>2.0190689848569825</v>
      </c>
      <c r="W1194" s="7">
        <f t="shared" si="392"/>
        <v>736.96017947279859</v>
      </c>
      <c r="X1194" s="7">
        <f t="shared" si="393"/>
        <v>0.92120022434099824</v>
      </c>
      <c r="AA1194" s="8">
        <f t="shared" si="394"/>
        <v>44927</v>
      </c>
      <c r="AB1194" s="8">
        <f t="shared" si="395"/>
        <v>45291</v>
      </c>
      <c r="AC1194" s="1">
        <v>31</v>
      </c>
      <c r="AD1194" s="1">
        <f t="shared" si="396"/>
        <v>365</v>
      </c>
      <c r="AE1194" s="1">
        <f t="shared" si="397"/>
        <v>0</v>
      </c>
      <c r="AF1194" s="1">
        <f t="shared" si="398"/>
        <v>0</v>
      </c>
      <c r="AG1194" s="1">
        <f t="shared" si="399"/>
        <v>0</v>
      </c>
      <c r="AH1194" s="1">
        <f t="shared" si="400"/>
        <v>0</v>
      </c>
      <c r="AI1194" s="5">
        <f t="shared" si="401"/>
        <v>1</v>
      </c>
      <c r="AJ1194" s="5">
        <f t="shared" si="402"/>
        <v>0.92120022434099824</v>
      </c>
      <c r="AK1194" s="5">
        <f t="shared" si="403"/>
        <v>28.557206954570944</v>
      </c>
      <c r="AL1194" s="5">
        <f t="shared" si="404"/>
        <v>71.39301738642736</v>
      </c>
      <c r="AM1194" s="5">
        <f t="shared" si="405"/>
        <v>35.69650869321368</v>
      </c>
      <c r="AN1194" s="5">
        <f t="shared" si="406"/>
        <v>107.08952607964105</v>
      </c>
      <c r="AO1194" s="1" t="s">
        <v>102</v>
      </c>
    </row>
    <row r="1195" spans="1:41" x14ac:dyDescent="0.25">
      <c r="A1195" s="1" t="s">
        <v>19</v>
      </c>
      <c r="B1195" s="1" t="s">
        <v>54</v>
      </c>
      <c r="C1195" s="1" t="s">
        <v>21</v>
      </c>
      <c r="D1195" s="1" t="s">
        <v>55</v>
      </c>
      <c r="E1195" s="1" t="s">
        <v>96</v>
      </c>
      <c r="F1195" s="1" t="s">
        <v>103</v>
      </c>
      <c r="G1195" s="1" t="s">
        <v>127</v>
      </c>
      <c r="H1195" s="1" t="s">
        <v>1314</v>
      </c>
      <c r="I1195" s="1" t="s">
        <v>105</v>
      </c>
      <c r="J1195" s="1" t="s">
        <v>106</v>
      </c>
      <c r="L1195" s="1">
        <v>2675564</v>
      </c>
      <c r="M1195" s="1" t="s">
        <v>1339</v>
      </c>
      <c r="N1195" s="8">
        <f>DATE(2020,2,3)</f>
        <v>43864</v>
      </c>
      <c r="O1195" s="8">
        <f>DATE(2022,12,20)</f>
        <v>44915</v>
      </c>
      <c r="P1195" s="1">
        <v>2640</v>
      </c>
      <c r="Q1195" s="1">
        <v>2400</v>
      </c>
      <c r="R1195" s="1">
        <f t="shared" si="389"/>
        <v>2400</v>
      </c>
      <c r="S1195" s="1">
        <v>2.5</v>
      </c>
      <c r="U1195" s="1">
        <f t="shared" si="390"/>
        <v>1052</v>
      </c>
      <c r="V1195" s="7">
        <f t="shared" si="391"/>
        <v>2.2813688212927756</v>
      </c>
      <c r="W1195" s="7">
        <f t="shared" si="392"/>
        <v>832.69961977186313</v>
      </c>
      <c r="X1195" s="7">
        <f t="shared" si="393"/>
        <v>1.040874524714829</v>
      </c>
      <c r="AA1195" s="8">
        <f t="shared" si="394"/>
        <v>44927</v>
      </c>
      <c r="AB1195" s="8">
        <f t="shared" si="395"/>
        <v>45291</v>
      </c>
      <c r="AC1195" s="1">
        <v>24</v>
      </c>
      <c r="AD1195" s="1">
        <f t="shared" si="396"/>
        <v>0</v>
      </c>
      <c r="AE1195" s="1">
        <f t="shared" si="397"/>
        <v>0</v>
      </c>
      <c r="AF1195" s="1">
        <f t="shared" si="398"/>
        <v>0</v>
      </c>
      <c r="AG1195" s="1">
        <f t="shared" si="399"/>
        <v>0</v>
      </c>
      <c r="AH1195" s="1">
        <f t="shared" si="400"/>
        <v>182.5</v>
      </c>
      <c r="AI1195" s="5">
        <f t="shared" si="401"/>
        <v>0.5</v>
      </c>
      <c r="AJ1195" s="5">
        <f t="shared" si="402"/>
        <v>0.5204372623574145</v>
      </c>
      <c r="AK1195" s="5">
        <f t="shared" si="403"/>
        <v>6.245247148288974</v>
      </c>
      <c r="AL1195" s="5">
        <f t="shared" si="404"/>
        <v>15.613117870722435</v>
      </c>
      <c r="AM1195" s="5">
        <f t="shared" si="405"/>
        <v>7.8065589353612177</v>
      </c>
      <c r="AN1195" s="5">
        <f t="shared" si="406"/>
        <v>23.419676806083654</v>
      </c>
      <c r="AO1195" s="1" t="s">
        <v>102</v>
      </c>
    </row>
    <row r="1196" spans="1:41" x14ac:dyDescent="0.25">
      <c r="A1196" s="1" t="s">
        <v>19</v>
      </c>
      <c r="B1196" s="1" t="s">
        <v>54</v>
      </c>
      <c r="C1196" s="1" t="s">
        <v>21</v>
      </c>
      <c r="D1196" s="1" t="s">
        <v>55</v>
      </c>
      <c r="E1196" s="1" t="s">
        <v>96</v>
      </c>
      <c r="F1196" s="1" t="s">
        <v>103</v>
      </c>
      <c r="G1196" s="1" t="s">
        <v>127</v>
      </c>
      <c r="H1196" s="1" t="s">
        <v>872</v>
      </c>
      <c r="I1196" s="1" t="s">
        <v>157</v>
      </c>
      <c r="J1196" s="1" t="s">
        <v>101</v>
      </c>
      <c r="L1196" s="1">
        <v>2675565</v>
      </c>
      <c r="M1196" s="1" t="s">
        <v>1340</v>
      </c>
      <c r="N1196" s="8">
        <f>DATE(2020,2,3)</f>
        <v>43864</v>
      </c>
      <c r="O1196" s="8">
        <f>DATE(2022,12,20)</f>
        <v>44915</v>
      </c>
      <c r="P1196" s="1">
        <v>2085</v>
      </c>
      <c r="Q1196" s="1">
        <v>1600</v>
      </c>
      <c r="R1196" s="1">
        <f t="shared" si="389"/>
        <v>1600</v>
      </c>
      <c r="S1196" s="1">
        <v>1</v>
      </c>
      <c r="U1196" s="1">
        <f t="shared" si="390"/>
        <v>1052</v>
      </c>
      <c r="V1196" s="7">
        <f t="shared" si="391"/>
        <v>1.520912547528517</v>
      </c>
      <c r="W1196" s="7">
        <f t="shared" si="392"/>
        <v>555.13307984790868</v>
      </c>
      <c r="X1196" s="7">
        <f t="shared" si="393"/>
        <v>0.69391634980988581</v>
      </c>
      <c r="AA1196" s="8">
        <f t="shared" si="394"/>
        <v>44927</v>
      </c>
      <c r="AB1196" s="8">
        <f t="shared" si="395"/>
        <v>45291</v>
      </c>
      <c r="AC1196" s="1">
        <v>22</v>
      </c>
      <c r="AD1196" s="1">
        <f t="shared" si="396"/>
        <v>0</v>
      </c>
      <c r="AE1196" s="1">
        <f t="shared" si="397"/>
        <v>0</v>
      </c>
      <c r="AF1196" s="1">
        <f t="shared" si="398"/>
        <v>0</v>
      </c>
      <c r="AG1196" s="1">
        <f t="shared" si="399"/>
        <v>0</v>
      </c>
      <c r="AH1196" s="1">
        <f t="shared" si="400"/>
        <v>182.5</v>
      </c>
      <c r="AI1196" s="5">
        <f t="shared" si="401"/>
        <v>0.5</v>
      </c>
      <c r="AJ1196" s="5">
        <f t="shared" si="402"/>
        <v>0.34695817490494291</v>
      </c>
      <c r="AK1196" s="5">
        <f t="shared" si="403"/>
        <v>3.8165399239543718</v>
      </c>
      <c r="AL1196" s="5">
        <f t="shared" si="404"/>
        <v>3.8165399239543718</v>
      </c>
      <c r="AM1196" s="5">
        <f t="shared" si="405"/>
        <v>0</v>
      </c>
      <c r="AN1196" s="5">
        <f t="shared" si="406"/>
        <v>3.8165399239543718</v>
      </c>
      <c r="AO1196" s="1" t="s">
        <v>102</v>
      </c>
    </row>
    <row r="1197" spans="1:41" x14ac:dyDescent="0.25">
      <c r="A1197" s="1" t="s">
        <v>19</v>
      </c>
      <c r="B1197" s="1" t="s">
        <v>54</v>
      </c>
      <c r="C1197" s="1" t="s">
        <v>21</v>
      </c>
      <c r="D1197" s="1" t="s">
        <v>55</v>
      </c>
      <c r="E1197" s="1" t="s">
        <v>96</v>
      </c>
      <c r="F1197" s="1" t="s">
        <v>103</v>
      </c>
      <c r="G1197" s="1" t="s">
        <v>114</v>
      </c>
      <c r="H1197" s="1" t="s">
        <v>119</v>
      </c>
      <c r="I1197" s="1" t="s">
        <v>105</v>
      </c>
      <c r="J1197" s="1" t="s">
        <v>106</v>
      </c>
      <c r="K1197" s="1" t="s">
        <v>175</v>
      </c>
      <c r="L1197" s="1">
        <v>2718278</v>
      </c>
      <c r="M1197" s="1" t="s">
        <v>1341</v>
      </c>
      <c r="N1197" s="8">
        <f>DATE(2020,9,18)</f>
        <v>44092</v>
      </c>
      <c r="O1197" s="8">
        <f>DATE(2022,9,16)</f>
        <v>44820</v>
      </c>
      <c r="P1197" s="1">
        <v>1300</v>
      </c>
      <c r="Q1197" s="1">
        <v>1200</v>
      </c>
      <c r="R1197" s="1">
        <f t="shared" si="389"/>
        <v>1200</v>
      </c>
      <c r="S1197" s="1">
        <v>2.5</v>
      </c>
      <c r="U1197" s="1">
        <f t="shared" si="390"/>
        <v>729</v>
      </c>
      <c r="V1197" s="7">
        <f t="shared" si="391"/>
        <v>1.6460905349794239</v>
      </c>
      <c r="W1197" s="7">
        <f t="shared" si="392"/>
        <v>600.82304526748976</v>
      </c>
      <c r="X1197" s="7">
        <f t="shared" si="393"/>
        <v>0.75102880658436222</v>
      </c>
      <c r="AA1197" s="8">
        <f t="shared" si="394"/>
        <v>44927</v>
      </c>
      <c r="AB1197" s="8">
        <f t="shared" si="395"/>
        <v>45291</v>
      </c>
      <c r="AC1197" s="1">
        <v>26</v>
      </c>
      <c r="AD1197" s="1">
        <f t="shared" si="396"/>
        <v>0</v>
      </c>
      <c r="AE1197" s="1">
        <f t="shared" si="397"/>
        <v>0</v>
      </c>
      <c r="AF1197" s="1">
        <f t="shared" si="398"/>
        <v>0</v>
      </c>
      <c r="AG1197" s="1">
        <f t="shared" si="399"/>
        <v>0</v>
      </c>
      <c r="AH1197" s="1">
        <f t="shared" si="400"/>
        <v>182.5</v>
      </c>
      <c r="AI1197" s="5">
        <f t="shared" si="401"/>
        <v>0.5</v>
      </c>
      <c r="AJ1197" s="5">
        <f t="shared" si="402"/>
        <v>0.37551440329218111</v>
      </c>
      <c r="AK1197" s="5">
        <f t="shared" si="403"/>
        <v>4.8816872427983542</v>
      </c>
      <c r="AL1197" s="5">
        <f t="shared" si="404"/>
        <v>12.204218106995885</v>
      </c>
      <c r="AM1197" s="5">
        <f t="shared" si="405"/>
        <v>6.1021090534979425</v>
      </c>
      <c r="AN1197" s="5">
        <f t="shared" si="406"/>
        <v>18.306327160493829</v>
      </c>
      <c r="AO1197" s="1" t="s">
        <v>102</v>
      </c>
    </row>
    <row r="1198" spans="1:41" x14ac:dyDescent="0.25">
      <c r="A1198" s="1" t="s">
        <v>19</v>
      </c>
      <c r="B1198" s="1" t="s">
        <v>54</v>
      </c>
      <c r="C1198" s="1" t="s">
        <v>21</v>
      </c>
      <c r="D1198" s="1" t="s">
        <v>55</v>
      </c>
      <c r="E1198" s="1" t="s">
        <v>96</v>
      </c>
      <c r="F1198" s="1" t="s">
        <v>103</v>
      </c>
      <c r="G1198" s="1" t="s">
        <v>114</v>
      </c>
      <c r="H1198" s="1" t="s">
        <v>119</v>
      </c>
      <c r="I1198" s="1" t="s">
        <v>105</v>
      </c>
      <c r="J1198" s="1" t="s">
        <v>106</v>
      </c>
      <c r="K1198" s="1" t="s">
        <v>116</v>
      </c>
      <c r="L1198" s="1">
        <v>2751281</v>
      </c>
      <c r="M1198" s="1" t="s">
        <v>1342</v>
      </c>
      <c r="N1198" s="8">
        <f>DATE(2021,3,22)</f>
        <v>44277</v>
      </c>
      <c r="O1198" s="8">
        <f>DATE(2023,12,20)</f>
        <v>45280</v>
      </c>
      <c r="P1198" s="1">
        <v>3818</v>
      </c>
      <c r="Q1198" s="1">
        <v>1200</v>
      </c>
      <c r="R1198" s="1">
        <f t="shared" si="389"/>
        <v>3200</v>
      </c>
      <c r="S1198" s="1">
        <v>2.5</v>
      </c>
      <c r="U1198" s="1">
        <f t="shared" si="390"/>
        <v>1004</v>
      </c>
      <c r="V1198" s="7">
        <f t="shared" si="391"/>
        <v>3.1872509960159361</v>
      </c>
      <c r="W1198" s="7">
        <f t="shared" si="392"/>
        <v>1163.3466135458166</v>
      </c>
      <c r="X1198" s="7">
        <f t="shared" si="393"/>
        <v>1.4541832669322707</v>
      </c>
      <c r="AA1198" s="8">
        <f t="shared" si="394"/>
        <v>44927</v>
      </c>
      <c r="AB1198" s="8">
        <f t="shared" si="395"/>
        <v>45291</v>
      </c>
      <c r="AC1198" s="1">
        <v>60</v>
      </c>
      <c r="AD1198" s="1">
        <f t="shared" si="396"/>
        <v>0</v>
      </c>
      <c r="AE1198" s="1">
        <f t="shared" si="397"/>
        <v>0</v>
      </c>
      <c r="AF1198" s="1">
        <f t="shared" si="398"/>
        <v>354</v>
      </c>
      <c r="AG1198" s="1">
        <f t="shared" si="399"/>
        <v>0</v>
      </c>
      <c r="AH1198" s="1">
        <f t="shared" si="400"/>
        <v>0</v>
      </c>
      <c r="AI1198" s="5">
        <f t="shared" si="401"/>
        <v>0.96986301369863015</v>
      </c>
      <c r="AJ1198" s="5">
        <f t="shared" si="402"/>
        <v>1.4103585657370517</v>
      </c>
      <c r="AK1198" s="5">
        <f t="shared" si="403"/>
        <v>84.621513944223096</v>
      </c>
      <c r="AL1198" s="5">
        <f t="shared" si="404"/>
        <v>211.55378486055776</v>
      </c>
      <c r="AM1198" s="5">
        <f t="shared" si="405"/>
        <v>105.77689243027888</v>
      </c>
      <c r="AN1198" s="5">
        <f t="shared" si="406"/>
        <v>317.33067729083666</v>
      </c>
      <c r="AO1198" s="1" t="s">
        <v>102</v>
      </c>
    </row>
    <row r="1199" spans="1:41" x14ac:dyDescent="0.25">
      <c r="A1199" s="1" t="s">
        <v>19</v>
      </c>
      <c r="B1199" s="1" t="s">
        <v>54</v>
      </c>
      <c r="C1199" s="1" t="s">
        <v>21</v>
      </c>
      <c r="D1199" s="1" t="s">
        <v>55</v>
      </c>
      <c r="E1199" s="1" t="s">
        <v>96</v>
      </c>
      <c r="F1199" s="1" t="s">
        <v>103</v>
      </c>
      <c r="G1199" s="1" t="s">
        <v>114</v>
      </c>
      <c r="H1199" s="1" t="s">
        <v>254</v>
      </c>
      <c r="I1199" s="1" t="s">
        <v>255</v>
      </c>
      <c r="J1199" s="1" t="s">
        <v>101</v>
      </c>
      <c r="K1199" s="1" t="s">
        <v>116</v>
      </c>
      <c r="L1199" s="1">
        <v>2751285</v>
      </c>
      <c r="M1199" s="1" t="s">
        <v>1343</v>
      </c>
      <c r="N1199" s="8">
        <f>DATE(2021,3,22)</f>
        <v>44277</v>
      </c>
      <c r="O1199" s="8">
        <f>DATE(2023,12,20)</f>
        <v>45280</v>
      </c>
      <c r="P1199" s="1">
        <v>3886</v>
      </c>
      <c r="Q1199" s="1">
        <v>1200</v>
      </c>
      <c r="R1199" s="1">
        <f t="shared" si="389"/>
        <v>3200</v>
      </c>
      <c r="S1199" s="1">
        <v>2.5</v>
      </c>
      <c r="U1199" s="1">
        <f t="shared" si="390"/>
        <v>1004</v>
      </c>
      <c r="V1199" s="7">
        <f t="shared" si="391"/>
        <v>3.1872509960159361</v>
      </c>
      <c r="W1199" s="7">
        <f t="shared" si="392"/>
        <v>1163.3466135458166</v>
      </c>
      <c r="X1199" s="7">
        <f t="shared" si="393"/>
        <v>1.4541832669322707</v>
      </c>
      <c r="AA1199" s="8">
        <f t="shared" si="394"/>
        <v>44927</v>
      </c>
      <c r="AB1199" s="8">
        <f t="shared" si="395"/>
        <v>45291</v>
      </c>
      <c r="AC1199" s="1">
        <v>57</v>
      </c>
      <c r="AD1199" s="1">
        <f t="shared" si="396"/>
        <v>0</v>
      </c>
      <c r="AE1199" s="1">
        <f t="shared" si="397"/>
        <v>0</v>
      </c>
      <c r="AF1199" s="1">
        <f t="shared" si="398"/>
        <v>354</v>
      </c>
      <c r="AG1199" s="1">
        <f t="shared" si="399"/>
        <v>0</v>
      </c>
      <c r="AH1199" s="1">
        <f t="shared" si="400"/>
        <v>0</v>
      </c>
      <c r="AI1199" s="5">
        <f t="shared" si="401"/>
        <v>0.96986301369863015</v>
      </c>
      <c r="AJ1199" s="5">
        <f t="shared" si="402"/>
        <v>1.4103585657370517</v>
      </c>
      <c r="AK1199" s="5">
        <f t="shared" si="403"/>
        <v>80.390438247011943</v>
      </c>
      <c r="AL1199" s="5">
        <f t="shared" si="404"/>
        <v>200.97609561752986</v>
      </c>
      <c r="AM1199" s="5">
        <f t="shared" si="405"/>
        <v>0</v>
      </c>
      <c r="AN1199" s="5">
        <f t="shared" si="406"/>
        <v>200.97609561752986</v>
      </c>
      <c r="AO1199" s="1" t="s">
        <v>102</v>
      </c>
    </row>
    <row r="1200" spans="1:41" x14ac:dyDescent="0.25">
      <c r="A1200" s="1" t="s">
        <v>19</v>
      </c>
      <c r="B1200" s="1" t="s">
        <v>54</v>
      </c>
      <c r="C1200" s="1" t="s">
        <v>21</v>
      </c>
      <c r="D1200" s="1" t="s">
        <v>55</v>
      </c>
      <c r="E1200" s="1" t="s">
        <v>96</v>
      </c>
      <c r="F1200" s="1" t="s">
        <v>103</v>
      </c>
      <c r="G1200" s="1" t="s">
        <v>98</v>
      </c>
      <c r="H1200" s="1" t="s">
        <v>1312</v>
      </c>
      <c r="I1200" s="1" t="s">
        <v>105</v>
      </c>
      <c r="J1200" s="1" t="s">
        <v>106</v>
      </c>
      <c r="L1200" s="1">
        <v>2751291</v>
      </c>
      <c r="M1200" s="1" t="s">
        <v>1344</v>
      </c>
      <c r="N1200" s="8">
        <f>DATE(2021,3,22)</f>
        <v>44277</v>
      </c>
      <c r="O1200" s="8">
        <f>DATE(2025,12,20)</f>
        <v>46011</v>
      </c>
      <c r="P1200" s="1">
        <v>4579</v>
      </c>
      <c r="Q1200" s="1">
        <v>3600</v>
      </c>
      <c r="R1200" s="1">
        <f t="shared" si="389"/>
        <v>3600</v>
      </c>
      <c r="S1200" s="1">
        <v>2.5</v>
      </c>
      <c r="U1200" s="1">
        <f t="shared" si="390"/>
        <v>1735</v>
      </c>
      <c r="V1200" s="7">
        <f t="shared" si="391"/>
        <v>2.0749279538904899</v>
      </c>
      <c r="W1200" s="7">
        <f t="shared" si="392"/>
        <v>757.34870317002878</v>
      </c>
      <c r="X1200" s="7">
        <f t="shared" si="393"/>
        <v>0.94668587896253598</v>
      </c>
      <c r="AA1200" s="8">
        <f t="shared" si="394"/>
        <v>44927</v>
      </c>
      <c r="AB1200" s="8">
        <f t="shared" si="395"/>
        <v>45291</v>
      </c>
      <c r="AC1200" s="1">
        <v>26</v>
      </c>
      <c r="AD1200" s="1">
        <f t="shared" si="396"/>
        <v>365</v>
      </c>
      <c r="AE1200" s="1">
        <f t="shared" si="397"/>
        <v>0</v>
      </c>
      <c r="AF1200" s="1">
        <f t="shared" si="398"/>
        <v>0</v>
      </c>
      <c r="AG1200" s="1">
        <f t="shared" si="399"/>
        <v>0</v>
      </c>
      <c r="AH1200" s="1">
        <f t="shared" si="400"/>
        <v>0</v>
      </c>
      <c r="AI1200" s="5">
        <f t="shared" si="401"/>
        <v>1</v>
      </c>
      <c r="AJ1200" s="5">
        <f t="shared" si="402"/>
        <v>0.94668587896253598</v>
      </c>
      <c r="AK1200" s="5">
        <f t="shared" si="403"/>
        <v>24.613832853025936</v>
      </c>
      <c r="AL1200" s="5">
        <f t="shared" si="404"/>
        <v>61.534582132564843</v>
      </c>
      <c r="AM1200" s="5">
        <f t="shared" si="405"/>
        <v>30.767291066282421</v>
      </c>
      <c r="AN1200" s="5">
        <f t="shared" si="406"/>
        <v>92.301873198847261</v>
      </c>
      <c r="AO1200" s="1" t="s">
        <v>102</v>
      </c>
    </row>
    <row r="1201" spans="1:41" x14ac:dyDescent="0.25">
      <c r="A1201" s="1" t="s">
        <v>19</v>
      </c>
      <c r="B1201" s="1" t="s">
        <v>54</v>
      </c>
      <c r="C1201" s="1" t="s">
        <v>21</v>
      </c>
      <c r="D1201" s="1" t="s">
        <v>55</v>
      </c>
      <c r="E1201" s="1" t="s">
        <v>96</v>
      </c>
      <c r="F1201" s="1" t="s">
        <v>103</v>
      </c>
      <c r="G1201" s="1" t="s">
        <v>127</v>
      </c>
      <c r="H1201" s="1" t="s">
        <v>872</v>
      </c>
      <c r="I1201" s="1" t="s">
        <v>157</v>
      </c>
      <c r="J1201" s="1" t="s">
        <v>101</v>
      </c>
      <c r="L1201" s="1">
        <v>2755844</v>
      </c>
      <c r="M1201" s="1" t="s">
        <v>1345</v>
      </c>
      <c r="N1201" s="8">
        <f>DATE(2021,3,22)</f>
        <v>44277</v>
      </c>
      <c r="O1201" s="8">
        <f>DATE(2023,12,20)</f>
        <v>45280</v>
      </c>
      <c r="P1201" s="1">
        <v>2085</v>
      </c>
      <c r="Q1201" s="1">
        <v>1600</v>
      </c>
      <c r="R1201" s="1">
        <f t="shared" si="389"/>
        <v>1600</v>
      </c>
      <c r="S1201" s="1">
        <v>1</v>
      </c>
      <c r="U1201" s="1">
        <f t="shared" si="390"/>
        <v>1004</v>
      </c>
      <c r="V1201" s="7">
        <f t="shared" si="391"/>
        <v>1.593625498007968</v>
      </c>
      <c r="W1201" s="7">
        <f t="shared" si="392"/>
        <v>581.67330677290829</v>
      </c>
      <c r="X1201" s="7">
        <f t="shared" si="393"/>
        <v>0.72709163346613537</v>
      </c>
      <c r="AA1201" s="8">
        <f t="shared" si="394"/>
        <v>44927</v>
      </c>
      <c r="AB1201" s="8">
        <f t="shared" si="395"/>
        <v>45291</v>
      </c>
      <c r="AC1201" s="1">
        <v>30</v>
      </c>
      <c r="AD1201" s="1">
        <f t="shared" si="396"/>
        <v>0</v>
      </c>
      <c r="AE1201" s="1">
        <f t="shared" si="397"/>
        <v>0</v>
      </c>
      <c r="AF1201" s="1">
        <f t="shared" si="398"/>
        <v>354</v>
      </c>
      <c r="AG1201" s="1">
        <f t="shared" si="399"/>
        <v>0</v>
      </c>
      <c r="AH1201" s="1">
        <f t="shared" si="400"/>
        <v>0</v>
      </c>
      <c r="AI1201" s="5">
        <f t="shared" si="401"/>
        <v>0.96986301369863015</v>
      </c>
      <c r="AJ1201" s="5">
        <f t="shared" si="402"/>
        <v>0.70517928286852583</v>
      </c>
      <c r="AK1201" s="5">
        <f t="shared" si="403"/>
        <v>21.155378486055774</v>
      </c>
      <c r="AL1201" s="5">
        <f t="shared" si="404"/>
        <v>21.155378486055774</v>
      </c>
      <c r="AM1201" s="5">
        <f t="shared" si="405"/>
        <v>0</v>
      </c>
      <c r="AN1201" s="5">
        <f t="shared" si="406"/>
        <v>21.155378486055774</v>
      </c>
      <c r="AO1201" s="1" t="s">
        <v>102</v>
      </c>
    </row>
    <row r="1202" spans="1:41" x14ac:dyDescent="0.25">
      <c r="A1202" s="1" t="s">
        <v>19</v>
      </c>
      <c r="B1202" s="1" t="s">
        <v>54</v>
      </c>
      <c r="C1202" s="1" t="s">
        <v>21</v>
      </c>
      <c r="D1202" s="1" t="s">
        <v>55</v>
      </c>
      <c r="E1202" s="1" t="s">
        <v>96</v>
      </c>
      <c r="F1202" s="1" t="s">
        <v>103</v>
      </c>
      <c r="G1202" s="1" t="s">
        <v>127</v>
      </c>
      <c r="H1202" s="1" t="s">
        <v>1314</v>
      </c>
      <c r="I1202" s="1" t="s">
        <v>105</v>
      </c>
      <c r="J1202" s="1" t="s">
        <v>106</v>
      </c>
      <c r="L1202" s="1">
        <v>2755846</v>
      </c>
      <c r="M1202" s="1" t="s">
        <v>1346</v>
      </c>
      <c r="N1202" s="8">
        <f>DATE(2021,3,22)</f>
        <v>44277</v>
      </c>
      <c r="O1202" s="8">
        <f>DATE(2023,12,20)</f>
        <v>45280</v>
      </c>
      <c r="P1202" s="1">
        <v>2640</v>
      </c>
      <c r="Q1202" s="1">
        <v>2400</v>
      </c>
      <c r="R1202" s="1">
        <f t="shared" si="389"/>
        <v>2400</v>
      </c>
      <c r="S1202" s="1">
        <v>2.5</v>
      </c>
      <c r="U1202" s="1">
        <f t="shared" si="390"/>
        <v>1004</v>
      </c>
      <c r="V1202" s="7">
        <f t="shared" si="391"/>
        <v>2.3904382470119523</v>
      </c>
      <c r="W1202" s="7">
        <f t="shared" si="392"/>
        <v>872.50996015936255</v>
      </c>
      <c r="X1202" s="7">
        <f t="shared" si="393"/>
        <v>1.0906374501992031</v>
      </c>
      <c r="AA1202" s="8">
        <f t="shared" si="394"/>
        <v>44927</v>
      </c>
      <c r="AB1202" s="8">
        <f t="shared" si="395"/>
        <v>45291</v>
      </c>
      <c r="AC1202" s="1">
        <v>31</v>
      </c>
      <c r="AD1202" s="1">
        <f t="shared" si="396"/>
        <v>0</v>
      </c>
      <c r="AE1202" s="1">
        <f t="shared" si="397"/>
        <v>0</v>
      </c>
      <c r="AF1202" s="1">
        <f t="shared" si="398"/>
        <v>354</v>
      </c>
      <c r="AG1202" s="1">
        <f t="shared" si="399"/>
        <v>0</v>
      </c>
      <c r="AH1202" s="1">
        <f t="shared" si="400"/>
        <v>0</v>
      </c>
      <c r="AI1202" s="5">
        <f t="shared" si="401"/>
        <v>0.96986301369863015</v>
      </c>
      <c r="AJ1202" s="5">
        <f t="shared" si="402"/>
        <v>1.0577689243027888</v>
      </c>
      <c r="AK1202" s="5">
        <f t="shared" si="403"/>
        <v>32.790836653386449</v>
      </c>
      <c r="AL1202" s="5">
        <f t="shared" si="404"/>
        <v>81.977091633466131</v>
      </c>
      <c r="AM1202" s="5">
        <f t="shared" si="405"/>
        <v>40.988545816733065</v>
      </c>
      <c r="AN1202" s="5">
        <f t="shared" si="406"/>
        <v>122.9656374501992</v>
      </c>
      <c r="AO1202" s="1" t="s">
        <v>102</v>
      </c>
    </row>
    <row r="1203" spans="1:41" x14ac:dyDescent="0.25">
      <c r="A1203" s="1" t="s">
        <v>19</v>
      </c>
      <c r="B1203" s="1" t="s">
        <v>54</v>
      </c>
      <c r="C1203" s="1" t="s">
        <v>21</v>
      </c>
      <c r="D1203" s="1" t="s">
        <v>55</v>
      </c>
      <c r="E1203" s="1" t="s">
        <v>96</v>
      </c>
      <c r="F1203" s="1" t="s">
        <v>103</v>
      </c>
      <c r="G1203" s="1" t="s">
        <v>114</v>
      </c>
      <c r="H1203" s="1" t="s">
        <v>119</v>
      </c>
      <c r="I1203" s="1" t="s">
        <v>105</v>
      </c>
      <c r="J1203" s="1" t="s">
        <v>106</v>
      </c>
      <c r="K1203" s="1" t="s">
        <v>175</v>
      </c>
      <c r="L1203" s="1">
        <v>2814179</v>
      </c>
      <c r="M1203" s="1" t="s">
        <v>1347</v>
      </c>
      <c r="N1203" s="8">
        <f>DATE(2021,11,6)</f>
        <v>44506</v>
      </c>
      <c r="O1203" s="8">
        <f>DATE(2023,11,4)</f>
        <v>45234</v>
      </c>
      <c r="P1203" s="1">
        <v>1300</v>
      </c>
      <c r="Q1203" s="1">
        <v>1200</v>
      </c>
      <c r="R1203" s="1">
        <f t="shared" si="389"/>
        <v>1200</v>
      </c>
      <c r="S1203" s="1">
        <v>2.5</v>
      </c>
      <c r="U1203" s="1">
        <f t="shared" si="390"/>
        <v>729</v>
      </c>
      <c r="V1203" s="7">
        <f t="shared" si="391"/>
        <v>1.6460905349794239</v>
      </c>
      <c r="W1203" s="7">
        <f t="shared" si="392"/>
        <v>600.82304526748976</v>
      </c>
      <c r="X1203" s="7">
        <f t="shared" si="393"/>
        <v>0.75102880658436222</v>
      </c>
      <c r="AA1203" s="8">
        <f t="shared" si="394"/>
        <v>44927</v>
      </c>
      <c r="AB1203" s="8">
        <f t="shared" si="395"/>
        <v>45291</v>
      </c>
      <c r="AC1203" s="1">
        <v>41</v>
      </c>
      <c r="AD1203" s="1">
        <f t="shared" si="396"/>
        <v>0</v>
      </c>
      <c r="AE1203" s="1">
        <f t="shared" si="397"/>
        <v>0</v>
      </c>
      <c r="AF1203" s="1">
        <f t="shared" si="398"/>
        <v>308</v>
      </c>
      <c r="AG1203" s="1">
        <f t="shared" si="399"/>
        <v>0</v>
      </c>
      <c r="AH1203" s="1">
        <f t="shared" si="400"/>
        <v>0</v>
      </c>
      <c r="AI1203" s="5">
        <f t="shared" si="401"/>
        <v>0.84383561643835614</v>
      </c>
      <c r="AJ1203" s="5">
        <f t="shared" si="402"/>
        <v>0.63374485596707819</v>
      </c>
      <c r="AK1203" s="5">
        <f t="shared" si="403"/>
        <v>25.983539094650205</v>
      </c>
      <c r="AL1203" s="5">
        <f t="shared" si="404"/>
        <v>64.958847736625515</v>
      </c>
      <c r="AM1203" s="5">
        <f t="shared" si="405"/>
        <v>32.479423868312757</v>
      </c>
      <c r="AN1203" s="5">
        <f t="shared" si="406"/>
        <v>97.438271604938279</v>
      </c>
      <c r="AO1203" s="1" t="s">
        <v>102</v>
      </c>
    </row>
    <row r="1204" spans="1:41" x14ac:dyDescent="0.25">
      <c r="A1204" s="1" t="s">
        <v>19</v>
      </c>
      <c r="B1204" s="1" t="s">
        <v>54</v>
      </c>
      <c r="C1204" s="1" t="s">
        <v>21</v>
      </c>
      <c r="D1204" s="1" t="s">
        <v>55</v>
      </c>
      <c r="E1204" s="1" t="s">
        <v>96</v>
      </c>
      <c r="F1204" s="1" t="s">
        <v>103</v>
      </c>
      <c r="G1204" s="1" t="s">
        <v>114</v>
      </c>
      <c r="H1204" s="1" t="s">
        <v>119</v>
      </c>
      <c r="I1204" s="1" t="s">
        <v>105</v>
      </c>
      <c r="J1204" s="1" t="s">
        <v>106</v>
      </c>
      <c r="K1204" s="1" t="s">
        <v>116</v>
      </c>
      <c r="L1204" s="1">
        <v>2833504</v>
      </c>
      <c r="M1204" s="1" t="s">
        <v>1348</v>
      </c>
      <c r="N1204" s="8">
        <f>DATE(2022,2,1)</f>
        <v>44593</v>
      </c>
      <c r="O1204" s="8">
        <f>DATE(2024,12,16)</f>
        <v>45642</v>
      </c>
      <c r="P1204" s="1">
        <v>3818</v>
      </c>
      <c r="Q1204" s="1">
        <v>1200</v>
      </c>
      <c r="R1204" s="1">
        <f t="shared" si="389"/>
        <v>3200</v>
      </c>
      <c r="S1204" s="1">
        <v>2.5</v>
      </c>
      <c r="U1204" s="1">
        <f t="shared" si="390"/>
        <v>1050</v>
      </c>
      <c r="V1204" s="7">
        <f t="shared" si="391"/>
        <v>3.0476190476190474</v>
      </c>
      <c r="W1204" s="7">
        <f t="shared" si="392"/>
        <v>1112.3809523809523</v>
      </c>
      <c r="X1204" s="7">
        <f t="shared" si="393"/>
        <v>1.3904761904761904</v>
      </c>
      <c r="AA1204" s="8">
        <f t="shared" si="394"/>
        <v>44927</v>
      </c>
      <c r="AB1204" s="8">
        <f t="shared" si="395"/>
        <v>45291</v>
      </c>
      <c r="AC1204" s="1">
        <v>65</v>
      </c>
      <c r="AD1204" s="1">
        <f t="shared" si="396"/>
        <v>365</v>
      </c>
      <c r="AE1204" s="1">
        <f t="shared" si="397"/>
        <v>0</v>
      </c>
      <c r="AF1204" s="1">
        <f t="shared" si="398"/>
        <v>0</v>
      </c>
      <c r="AG1204" s="1">
        <f t="shared" si="399"/>
        <v>0</v>
      </c>
      <c r="AH1204" s="1">
        <f t="shared" si="400"/>
        <v>0</v>
      </c>
      <c r="AI1204" s="5">
        <f t="shared" si="401"/>
        <v>1</v>
      </c>
      <c r="AJ1204" s="5">
        <f t="shared" si="402"/>
        <v>1.3904761904761904</v>
      </c>
      <c r="AK1204" s="5">
        <f t="shared" si="403"/>
        <v>90.38095238095238</v>
      </c>
      <c r="AL1204" s="5">
        <f t="shared" si="404"/>
        <v>225.95238095238096</v>
      </c>
      <c r="AM1204" s="5">
        <f t="shared" si="405"/>
        <v>112.97619047619048</v>
      </c>
      <c r="AN1204" s="5">
        <f t="shared" si="406"/>
        <v>338.92857142857144</v>
      </c>
      <c r="AO1204" s="1" t="s">
        <v>102</v>
      </c>
    </row>
    <row r="1205" spans="1:41" x14ac:dyDescent="0.25">
      <c r="A1205" s="1" t="s">
        <v>19</v>
      </c>
      <c r="B1205" s="1" t="s">
        <v>54</v>
      </c>
      <c r="C1205" s="1" t="s">
        <v>21</v>
      </c>
      <c r="D1205" s="1" t="s">
        <v>55</v>
      </c>
      <c r="E1205" s="1" t="s">
        <v>96</v>
      </c>
      <c r="F1205" s="1" t="s">
        <v>103</v>
      </c>
      <c r="G1205" s="1" t="s">
        <v>114</v>
      </c>
      <c r="H1205" s="1" t="s">
        <v>254</v>
      </c>
      <c r="I1205" s="1" t="s">
        <v>255</v>
      </c>
      <c r="J1205" s="1" t="s">
        <v>101</v>
      </c>
      <c r="K1205" s="1" t="s">
        <v>116</v>
      </c>
      <c r="L1205" s="1">
        <v>2833506</v>
      </c>
      <c r="M1205" s="1" t="s">
        <v>1349</v>
      </c>
      <c r="N1205" s="8">
        <f>DATE(2022,2,1)</f>
        <v>44593</v>
      </c>
      <c r="O1205" s="8">
        <f>DATE(2024,12,16)</f>
        <v>45642</v>
      </c>
      <c r="P1205" s="1">
        <v>3886</v>
      </c>
      <c r="Q1205" s="1">
        <v>1200</v>
      </c>
      <c r="R1205" s="1">
        <f t="shared" si="389"/>
        <v>3200</v>
      </c>
      <c r="S1205" s="1">
        <v>2.5</v>
      </c>
      <c r="U1205" s="1">
        <f t="shared" si="390"/>
        <v>1050</v>
      </c>
      <c r="V1205" s="7">
        <f t="shared" si="391"/>
        <v>3.0476190476190474</v>
      </c>
      <c r="W1205" s="7">
        <f t="shared" si="392"/>
        <v>1112.3809523809523</v>
      </c>
      <c r="X1205" s="7">
        <f t="shared" si="393"/>
        <v>1.3904761904761904</v>
      </c>
      <c r="AA1205" s="8">
        <f t="shared" si="394"/>
        <v>44927</v>
      </c>
      <c r="AB1205" s="8">
        <f t="shared" si="395"/>
        <v>45291</v>
      </c>
      <c r="AC1205" s="1">
        <v>56</v>
      </c>
      <c r="AD1205" s="1">
        <f t="shared" si="396"/>
        <v>365</v>
      </c>
      <c r="AE1205" s="1">
        <f t="shared" si="397"/>
        <v>0</v>
      </c>
      <c r="AF1205" s="1">
        <f t="shared" si="398"/>
        <v>0</v>
      </c>
      <c r="AG1205" s="1">
        <f t="shared" si="399"/>
        <v>0</v>
      </c>
      <c r="AH1205" s="1">
        <f t="shared" si="400"/>
        <v>0</v>
      </c>
      <c r="AI1205" s="5">
        <f t="shared" si="401"/>
        <v>1</v>
      </c>
      <c r="AJ1205" s="5">
        <f t="shared" si="402"/>
        <v>1.3904761904761904</v>
      </c>
      <c r="AK1205" s="5">
        <f t="shared" si="403"/>
        <v>77.86666666666666</v>
      </c>
      <c r="AL1205" s="5">
        <f t="shared" si="404"/>
        <v>194.66666666666666</v>
      </c>
      <c r="AM1205" s="5">
        <f t="shared" si="405"/>
        <v>0</v>
      </c>
      <c r="AN1205" s="5">
        <f t="shared" si="406"/>
        <v>194.66666666666666</v>
      </c>
      <c r="AO1205" s="1" t="s">
        <v>102</v>
      </c>
    </row>
    <row r="1206" spans="1:41" x14ac:dyDescent="0.25">
      <c r="A1206" s="1" t="s">
        <v>19</v>
      </c>
      <c r="B1206" s="1" t="s">
        <v>54</v>
      </c>
      <c r="C1206" s="1" t="s">
        <v>21</v>
      </c>
      <c r="D1206" s="1" t="s">
        <v>55</v>
      </c>
      <c r="E1206" s="1" t="s">
        <v>96</v>
      </c>
      <c r="F1206" s="1" t="s">
        <v>103</v>
      </c>
      <c r="G1206" s="1" t="s">
        <v>127</v>
      </c>
      <c r="H1206" s="1" t="s">
        <v>872</v>
      </c>
      <c r="I1206" s="1" t="s">
        <v>157</v>
      </c>
      <c r="J1206" s="1" t="s">
        <v>101</v>
      </c>
      <c r="L1206" s="1">
        <v>2833509</v>
      </c>
      <c r="M1206" s="1" t="s">
        <v>1350</v>
      </c>
      <c r="N1206" s="8">
        <f>DATE(2022,2,1)</f>
        <v>44593</v>
      </c>
      <c r="O1206" s="8">
        <f>DATE(2024,12,16)</f>
        <v>45642</v>
      </c>
      <c r="P1206" s="1">
        <v>2085</v>
      </c>
      <c r="Q1206" s="1">
        <v>1600</v>
      </c>
      <c r="R1206" s="1">
        <f t="shared" si="389"/>
        <v>1600</v>
      </c>
      <c r="S1206" s="1">
        <v>1</v>
      </c>
      <c r="U1206" s="1">
        <f t="shared" si="390"/>
        <v>1050</v>
      </c>
      <c r="V1206" s="7">
        <f t="shared" si="391"/>
        <v>1.5238095238095237</v>
      </c>
      <c r="W1206" s="7">
        <f t="shared" si="392"/>
        <v>556.19047619047615</v>
      </c>
      <c r="X1206" s="7">
        <f t="shared" si="393"/>
        <v>0.69523809523809521</v>
      </c>
      <c r="AA1206" s="8">
        <f t="shared" si="394"/>
        <v>44927</v>
      </c>
      <c r="AB1206" s="8">
        <f t="shared" si="395"/>
        <v>45291</v>
      </c>
      <c r="AC1206" s="1">
        <v>32</v>
      </c>
      <c r="AD1206" s="1">
        <f t="shared" si="396"/>
        <v>365</v>
      </c>
      <c r="AE1206" s="1">
        <f t="shared" si="397"/>
        <v>0</v>
      </c>
      <c r="AF1206" s="1">
        <f t="shared" si="398"/>
        <v>0</v>
      </c>
      <c r="AG1206" s="1">
        <f t="shared" si="399"/>
        <v>0</v>
      </c>
      <c r="AH1206" s="1">
        <f t="shared" si="400"/>
        <v>0</v>
      </c>
      <c r="AI1206" s="5">
        <f t="shared" si="401"/>
        <v>1</v>
      </c>
      <c r="AJ1206" s="5">
        <f t="shared" si="402"/>
        <v>0.69523809523809521</v>
      </c>
      <c r="AK1206" s="5">
        <f t="shared" si="403"/>
        <v>22.247619047619047</v>
      </c>
      <c r="AL1206" s="5">
        <f t="shared" si="404"/>
        <v>22.247619047619047</v>
      </c>
      <c r="AM1206" s="5">
        <f t="shared" si="405"/>
        <v>0</v>
      </c>
      <c r="AN1206" s="5">
        <f t="shared" si="406"/>
        <v>22.247619047619047</v>
      </c>
      <c r="AO1206" s="1" t="s">
        <v>102</v>
      </c>
    </row>
    <row r="1207" spans="1:41" x14ac:dyDescent="0.25">
      <c r="A1207" s="1" t="s">
        <v>19</v>
      </c>
      <c r="B1207" s="1" t="s">
        <v>54</v>
      </c>
      <c r="C1207" s="1" t="s">
        <v>21</v>
      </c>
      <c r="D1207" s="1" t="s">
        <v>55</v>
      </c>
      <c r="E1207" s="1" t="s">
        <v>96</v>
      </c>
      <c r="F1207" s="1" t="s">
        <v>103</v>
      </c>
      <c r="G1207" s="1" t="s">
        <v>127</v>
      </c>
      <c r="H1207" s="1" t="s">
        <v>1314</v>
      </c>
      <c r="I1207" s="1" t="s">
        <v>105</v>
      </c>
      <c r="J1207" s="1" t="s">
        <v>106</v>
      </c>
      <c r="L1207" s="1">
        <v>2833511</v>
      </c>
      <c r="M1207" s="1" t="s">
        <v>1351</v>
      </c>
      <c r="N1207" s="8">
        <f>DATE(2022,2,1)</f>
        <v>44593</v>
      </c>
      <c r="O1207" s="8">
        <f>DATE(2024,12,16)</f>
        <v>45642</v>
      </c>
      <c r="P1207" s="1">
        <v>2640</v>
      </c>
      <c r="Q1207" s="1">
        <v>2400</v>
      </c>
      <c r="R1207" s="1">
        <f t="shared" si="389"/>
        <v>2400</v>
      </c>
      <c r="S1207" s="1">
        <v>2.5</v>
      </c>
      <c r="U1207" s="1">
        <f t="shared" si="390"/>
        <v>1050</v>
      </c>
      <c r="V1207" s="7">
        <f t="shared" si="391"/>
        <v>2.2857142857142856</v>
      </c>
      <c r="W1207" s="7">
        <f t="shared" si="392"/>
        <v>834.28571428571422</v>
      </c>
      <c r="X1207" s="7">
        <f t="shared" si="393"/>
        <v>1.0428571428571427</v>
      </c>
      <c r="AA1207" s="8">
        <f t="shared" si="394"/>
        <v>44927</v>
      </c>
      <c r="AB1207" s="8">
        <f t="shared" si="395"/>
        <v>45291</v>
      </c>
      <c r="AC1207" s="1">
        <v>34</v>
      </c>
      <c r="AD1207" s="1">
        <f t="shared" si="396"/>
        <v>365</v>
      </c>
      <c r="AE1207" s="1">
        <f t="shared" si="397"/>
        <v>0</v>
      </c>
      <c r="AF1207" s="1">
        <f t="shared" si="398"/>
        <v>0</v>
      </c>
      <c r="AG1207" s="1">
        <f t="shared" si="399"/>
        <v>0</v>
      </c>
      <c r="AH1207" s="1">
        <f t="shared" si="400"/>
        <v>0</v>
      </c>
      <c r="AI1207" s="5">
        <f t="shared" si="401"/>
        <v>1</v>
      </c>
      <c r="AJ1207" s="5">
        <f t="shared" si="402"/>
        <v>1.0428571428571427</v>
      </c>
      <c r="AK1207" s="5">
        <f t="shared" si="403"/>
        <v>35.457142857142856</v>
      </c>
      <c r="AL1207" s="5">
        <f t="shared" si="404"/>
        <v>88.642857142857139</v>
      </c>
      <c r="AM1207" s="5">
        <f t="shared" si="405"/>
        <v>44.321428571428569</v>
      </c>
      <c r="AN1207" s="5">
        <f t="shared" si="406"/>
        <v>132.96428571428572</v>
      </c>
      <c r="AO1207" s="1" t="s">
        <v>102</v>
      </c>
    </row>
    <row r="1208" spans="1:41" x14ac:dyDescent="0.25">
      <c r="A1208" s="1" t="s">
        <v>19</v>
      </c>
      <c r="B1208" s="1" t="s">
        <v>54</v>
      </c>
      <c r="C1208" s="1" t="s">
        <v>21</v>
      </c>
      <c r="D1208" s="1" t="s">
        <v>55</v>
      </c>
      <c r="E1208" s="1" t="s">
        <v>96</v>
      </c>
      <c r="F1208" s="1" t="s">
        <v>103</v>
      </c>
      <c r="G1208" s="1" t="s">
        <v>98</v>
      </c>
      <c r="H1208" s="1" t="s">
        <v>1312</v>
      </c>
      <c r="I1208" s="1" t="s">
        <v>105</v>
      </c>
      <c r="J1208" s="1" t="s">
        <v>106</v>
      </c>
      <c r="L1208" s="1">
        <v>2833513</v>
      </c>
      <c r="M1208" s="1" t="s">
        <v>1352</v>
      </c>
      <c r="N1208" s="8">
        <f>DATE(2022,2,1)</f>
        <v>44593</v>
      </c>
      <c r="O1208" s="8">
        <f>DATE(2026,12,16)</f>
        <v>46372</v>
      </c>
      <c r="P1208" s="1">
        <v>4579</v>
      </c>
      <c r="Q1208" s="1">
        <v>3600</v>
      </c>
      <c r="R1208" s="1">
        <f t="shared" si="389"/>
        <v>3600</v>
      </c>
      <c r="S1208" s="1">
        <v>2.5</v>
      </c>
      <c r="U1208" s="1">
        <f t="shared" si="390"/>
        <v>1780</v>
      </c>
      <c r="V1208" s="7">
        <f t="shared" si="391"/>
        <v>2.0224719101123596</v>
      </c>
      <c r="W1208" s="7">
        <f t="shared" si="392"/>
        <v>738.20224719101122</v>
      </c>
      <c r="X1208" s="7">
        <f t="shared" si="393"/>
        <v>0.922752808988764</v>
      </c>
      <c r="AA1208" s="8">
        <f t="shared" si="394"/>
        <v>44927</v>
      </c>
      <c r="AB1208" s="8">
        <f t="shared" si="395"/>
        <v>45291</v>
      </c>
      <c r="AC1208" s="1">
        <v>35</v>
      </c>
      <c r="AD1208" s="1">
        <f t="shared" si="396"/>
        <v>365</v>
      </c>
      <c r="AE1208" s="1">
        <f t="shared" si="397"/>
        <v>0</v>
      </c>
      <c r="AF1208" s="1">
        <f t="shared" si="398"/>
        <v>0</v>
      </c>
      <c r="AG1208" s="1">
        <f t="shared" si="399"/>
        <v>0</v>
      </c>
      <c r="AH1208" s="1">
        <f t="shared" si="400"/>
        <v>0</v>
      </c>
      <c r="AI1208" s="5">
        <f t="shared" si="401"/>
        <v>1</v>
      </c>
      <c r="AJ1208" s="5">
        <f t="shared" si="402"/>
        <v>0.922752808988764</v>
      </c>
      <c r="AK1208" s="5">
        <f t="shared" si="403"/>
        <v>32.296348314606739</v>
      </c>
      <c r="AL1208" s="5">
        <f t="shared" si="404"/>
        <v>80.740870786516851</v>
      </c>
      <c r="AM1208" s="5">
        <f t="shared" si="405"/>
        <v>40.370435393258425</v>
      </c>
      <c r="AN1208" s="5">
        <f t="shared" si="406"/>
        <v>121.11130617977528</v>
      </c>
      <c r="AO1208" s="1" t="s">
        <v>102</v>
      </c>
    </row>
    <row r="1209" spans="1:41" x14ac:dyDescent="0.25">
      <c r="A1209" s="1" t="s">
        <v>19</v>
      </c>
      <c r="B1209" s="1" t="s">
        <v>54</v>
      </c>
      <c r="C1209" s="1" t="s">
        <v>21</v>
      </c>
      <c r="D1209" s="1" t="s">
        <v>55</v>
      </c>
      <c r="E1209" s="1" t="s">
        <v>96</v>
      </c>
      <c r="F1209" s="1" t="s">
        <v>103</v>
      </c>
      <c r="G1209" s="1" t="s">
        <v>155</v>
      </c>
      <c r="H1209" s="1" t="s">
        <v>1133</v>
      </c>
      <c r="I1209" s="1" t="s">
        <v>174</v>
      </c>
      <c r="J1209" s="1" t="s">
        <v>101</v>
      </c>
      <c r="L1209" s="1">
        <v>2613846</v>
      </c>
      <c r="M1209" s="1" t="s">
        <v>1353</v>
      </c>
      <c r="N1209" s="8">
        <f>DATE(2022,9,30)</f>
        <v>44834</v>
      </c>
      <c r="O1209" s="8">
        <f>DATE(2023,9,29)</f>
        <v>45198</v>
      </c>
      <c r="P1209" s="1">
        <v>160</v>
      </c>
      <c r="Q1209" s="1">
        <v>160</v>
      </c>
      <c r="R1209" s="1">
        <f t="shared" ref="R1209:R1271" si="408">IF(OR(G1209="QUALIFICACAO PROFISSIONAL (FIC)",G1209="DOUTORADO"),P1209,
    IF(ISNUMBER(FIND("PROEJA",K1209)),2400,
        IF(K1209="INTEGRADO",
            IF(Q1209=800,3000,
                IF(Q1209=1000,3100,
                    IF(Q1209=1200,3200,Q1209)
                )
            ),
            Q1209
        )
    )
)</f>
        <v>160</v>
      </c>
      <c r="S1209" s="1">
        <v>1</v>
      </c>
      <c r="U1209" s="1">
        <f t="shared" ref="U1209:U1271" si="409">O1209-N1209+1</f>
        <v>365</v>
      </c>
      <c r="V1209" s="7">
        <f t="shared" ref="V1209:V1271" si="410">IF(R1209&gt;P1209,P1209,R1209)/U1209</f>
        <v>0.43835616438356162</v>
      </c>
      <c r="W1209" s="7">
        <f t="shared" ref="W1209:W1271" si="411">IF(U1209&gt;365,V1209*365,R1209)</f>
        <v>160</v>
      </c>
      <c r="X1209" s="7">
        <f t="shared" ref="X1209:X1271" si="412">IF(U1209&gt;365,W1209/800,R1209/800)</f>
        <v>0.2</v>
      </c>
      <c r="AA1209" s="8">
        <f t="shared" ref="AA1209:AA1271" si="413">DATE(2023,1,1)</f>
        <v>44927</v>
      </c>
      <c r="AB1209" s="8">
        <f t="shared" ref="AB1209:AB1271" si="414">DATE(2023,12,31)</f>
        <v>45291</v>
      </c>
      <c r="AC1209" s="1">
        <v>22</v>
      </c>
      <c r="AD1209" s="1">
        <f t="shared" ref="AD1209:AD1271" si="415">IF(AND(N1209&lt;AA1209,O1209&gt;AB1209),AB1209-AA1209+1,0)</f>
        <v>0</v>
      </c>
      <c r="AE1209" s="1">
        <f t="shared" ref="AE1209:AE1271" si="416">IF(AND(N1209&gt;=AA1209,O1209&gt;AB1209,N1209&lt;AB1209),AB1209-N1209+1,0)</f>
        <v>0</v>
      </c>
      <c r="AF1209" s="1">
        <f t="shared" ref="AF1209:AF1271" si="417">IF(AND(N1209&lt;AA1209,O1209&lt;=AB1209,O1209&gt;=AA1209),O1209-AA1209+1,0)</f>
        <v>272</v>
      </c>
      <c r="AG1209" s="1">
        <f t="shared" ref="AG1209:AG1271" si="418">IF(AND(N1209&gt;=AA1209,O1209&lt;=AB1209),O1209-N1209+1,0)</f>
        <v>0</v>
      </c>
      <c r="AH1209" s="1">
        <f t="shared" ref="AH1209:AH1271" si="419">IF(AND(N1209&lt;AA1209,O1209&lt;AA1209),(AB1209-AA1209+1)/2,0)</f>
        <v>0</v>
      </c>
      <c r="AI1209" s="5">
        <f t="shared" ref="AI1209:AI1271" si="420">SUM(AD1209:AH1209)/IF(U1209&gt;=365,AB1209-AA1209+1,U1209)</f>
        <v>0.74520547945205484</v>
      </c>
      <c r="AJ1209" s="5">
        <f t="shared" ref="AJ1209:AJ1271" si="421">X1209*AI1209</f>
        <v>0.14904109589041098</v>
      </c>
      <c r="AK1209" s="5">
        <f t="shared" ref="AK1209:AK1271" si="422">IF(AH1209=0,AJ1209*AC1209,IF(AA1209-O1209&gt;1095,0,AJ1209*(AC1209/2)))</f>
        <v>3.2789041095890417</v>
      </c>
      <c r="AL1209" s="5">
        <f t="shared" ref="AL1209:AL1271" si="423">AK1209*S1209</f>
        <v>3.2789041095890417</v>
      </c>
      <c r="AM1209" s="5">
        <f t="shared" ref="AM1209:AM1271" si="424">IF(J1209="SIM",AL1209*50%,0)</f>
        <v>0</v>
      </c>
      <c r="AN1209" s="5">
        <f t="shared" ref="AN1209:AN1271" si="425">AL1209+AM1209</f>
        <v>3.2789041095890417</v>
      </c>
      <c r="AO1209" s="1" t="s">
        <v>102</v>
      </c>
    </row>
    <row r="1210" spans="1:41" x14ac:dyDescent="0.25">
      <c r="A1210" s="1" t="s">
        <v>19</v>
      </c>
      <c r="B1210" s="1" t="s">
        <v>54</v>
      </c>
      <c r="C1210" s="1" t="s">
        <v>21</v>
      </c>
      <c r="D1210" s="1" t="s">
        <v>55</v>
      </c>
      <c r="E1210" s="1" t="s">
        <v>96</v>
      </c>
      <c r="F1210" s="1" t="s">
        <v>103</v>
      </c>
      <c r="G1210" s="1" t="s">
        <v>114</v>
      </c>
      <c r="H1210" s="1" t="s">
        <v>119</v>
      </c>
      <c r="I1210" s="1" t="s">
        <v>105</v>
      </c>
      <c r="J1210" s="1" t="s">
        <v>106</v>
      </c>
      <c r="K1210" s="1" t="s">
        <v>116</v>
      </c>
      <c r="L1210" s="1">
        <v>2947094</v>
      </c>
      <c r="M1210" s="1" t="s">
        <v>1354</v>
      </c>
      <c r="N1210" s="8">
        <f>DATE(2023,1,30)</f>
        <v>44956</v>
      </c>
      <c r="O1210" s="8">
        <f>DATE(2025,12,22)</f>
        <v>46013</v>
      </c>
      <c r="P1210" s="1">
        <v>3818</v>
      </c>
      <c r="Q1210" s="1">
        <v>1200</v>
      </c>
      <c r="R1210" s="1">
        <f t="shared" si="408"/>
        <v>3200</v>
      </c>
      <c r="S1210" s="1">
        <v>2.5</v>
      </c>
      <c r="U1210" s="1">
        <f t="shared" si="409"/>
        <v>1058</v>
      </c>
      <c r="V1210" s="7">
        <f t="shared" si="410"/>
        <v>3.0245746691871456</v>
      </c>
      <c r="W1210" s="7">
        <f t="shared" si="411"/>
        <v>1103.9697542533081</v>
      </c>
      <c r="X1210" s="7">
        <f t="shared" si="412"/>
        <v>1.3799621928166352</v>
      </c>
      <c r="AA1210" s="8">
        <f t="shared" si="413"/>
        <v>44927</v>
      </c>
      <c r="AB1210" s="8">
        <f t="shared" si="414"/>
        <v>45291</v>
      </c>
      <c r="AC1210" s="1">
        <v>70</v>
      </c>
      <c r="AD1210" s="1">
        <f t="shared" si="415"/>
        <v>0</v>
      </c>
      <c r="AE1210" s="1">
        <f t="shared" si="416"/>
        <v>336</v>
      </c>
      <c r="AF1210" s="1">
        <f t="shared" si="417"/>
        <v>0</v>
      </c>
      <c r="AG1210" s="1">
        <f t="shared" si="418"/>
        <v>0</v>
      </c>
      <c r="AH1210" s="1">
        <f t="shared" si="419"/>
        <v>0</v>
      </c>
      <c r="AI1210" s="5">
        <f t="shared" si="420"/>
        <v>0.92054794520547945</v>
      </c>
      <c r="AJ1210" s="5">
        <f t="shared" si="421"/>
        <v>1.2703213610586013</v>
      </c>
      <c r="AK1210" s="5">
        <f t="shared" si="422"/>
        <v>88.92249527410209</v>
      </c>
      <c r="AL1210" s="5">
        <f t="shared" si="423"/>
        <v>222.30623818525521</v>
      </c>
      <c r="AM1210" s="5">
        <f t="shared" si="424"/>
        <v>111.15311909262761</v>
      </c>
      <c r="AN1210" s="5">
        <f t="shared" si="425"/>
        <v>333.45935727788282</v>
      </c>
      <c r="AO1210" s="1" t="s">
        <v>102</v>
      </c>
    </row>
    <row r="1211" spans="1:41" x14ac:dyDescent="0.25">
      <c r="A1211" s="1" t="s">
        <v>19</v>
      </c>
      <c r="B1211" s="1" t="s">
        <v>54</v>
      </c>
      <c r="C1211" s="1" t="s">
        <v>21</v>
      </c>
      <c r="D1211" s="1" t="s">
        <v>55</v>
      </c>
      <c r="E1211" s="1" t="s">
        <v>96</v>
      </c>
      <c r="F1211" s="1" t="s">
        <v>103</v>
      </c>
      <c r="G1211" s="1" t="s">
        <v>114</v>
      </c>
      <c r="H1211" s="1" t="s">
        <v>254</v>
      </c>
      <c r="I1211" s="1" t="s">
        <v>255</v>
      </c>
      <c r="J1211" s="1" t="s">
        <v>101</v>
      </c>
      <c r="K1211" s="1" t="s">
        <v>116</v>
      </c>
      <c r="L1211" s="1">
        <v>2947095</v>
      </c>
      <c r="M1211" s="1" t="s">
        <v>1355</v>
      </c>
      <c r="N1211" s="8">
        <f>DATE(2023,1,30)</f>
        <v>44956</v>
      </c>
      <c r="O1211" s="8">
        <f>DATE(2025,12,22)</f>
        <v>46013</v>
      </c>
      <c r="P1211" s="1">
        <v>3886</v>
      </c>
      <c r="Q1211" s="1">
        <v>1200</v>
      </c>
      <c r="R1211" s="1">
        <f t="shared" si="408"/>
        <v>3200</v>
      </c>
      <c r="S1211" s="1">
        <v>2.5</v>
      </c>
      <c r="U1211" s="1">
        <f t="shared" si="409"/>
        <v>1058</v>
      </c>
      <c r="V1211" s="7">
        <f t="shared" si="410"/>
        <v>3.0245746691871456</v>
      </c>
      <c r="W1211" s="7">
        <f t="shared" si="411"/>
        <v>1103.9697542533081</v>
      </c>
      <c r="X1211" s="7">
        <f t="shared" si="412"/>
        <v>1.3799621928166352</v>
      </c>
      <c r="AA1211" s="8">
        <f t="shared" si="413"/>
        <v>44927</v>
      </c>
      <c r="AB1211" s="8">
        <f t="shared" si="414"/>
        <v>45291</v>
      </c>
      <c r="AC1211" s="1">
        <v>35</v>
      </c>
      <c r="AD1211" s="1">
        <f t="shared" si="415"/>
        <v>0</v>
      </c>
      <c r="AE1211" s="1">
        <f t="shared" si="416"/>
        <v>336</v>
      </c>
      <c r="AF1211" s="1">
        <f t="shared" si="417"/>
        <v>0</v>
      </c>
      <c r="AG1211" s="1">
        <f t="shared" si="418"/>
        <v>0</v>
      </c>
      <c r="AH1211" s="1">
        <f t="shared" si="419"/>
        <v>0</v>
      </c>
      <c r="AI1211" s="5">
        <f t="shared" si="420"/>
        <v>0.92054794520547945</v>
      </c>
      <c r="AJ1211" s="5">
        <f t="shared" si="421"/>
        <v>1.2703213610586013</v>
      </c>
      <c r="AK1211" s="5">
        <f t="shared" si="422"/>
        <v>44.461247637051045</v>
      </c>
      <c r="AL1211" s="5">
        <f t="shared" si="423"/>
        <v>111.15311909262761</v>
      </c>
      <c r="AM1211" s="5">
        <f t="shared" si="424"/>
        <v>0</v>
      </c>
      <c r="AN1211" s="5">
        <f t="shared" si="425"/>
        <v>111.15311909262761</v>
      </c>
      <c r="AO1211" s="1" t="s">
        <v>102</v>
      </c>
    </row>
    <row r="1212" spans="1:41" x14ac:dyDescent="0.25">
      <c r="A1212" s="1" t="s">
        <v>19</v>
      </c>
      <c r="B1212" s="1" t="s">
        <v>54</v>
      </c>
      <c r="C1212" s="1" t="s">
        <v>21</v>
      </c>
      <c r="D1212" s="1" t="s">
        <v>55</v>
      </c>
      <c r="E1212" s="1" t="s">
        <v>96</v>
      </c>
      <c r="F1212" s="1" t="s">
        <v>103</v>
      </c>
      <c r="G1212" s="1" t="s">
        <v>127</v>
      </c>
      <c r="H1212" s="1" t="s">
        <v>872</v>
      </c>
      <c r="I1212" s="1" t="s">
        <v>157</v>
      </c>
      <c r="J1212" s="1" t="s">
        <v>101</v>
      </c>
      <c r="L1212" s="1">
        <v>2947096</v>
      </c>
      <c r="M1212" s="1" t="s">
        <v>1356</v>
      </c>
      <c r="N1212" s="8">
        <f>DATE(2023,1,30)</f>
        <v>44956</v>
      </c>
      <c r="O1212" s="8">
        <f>DATE(2025,12,22)</f>
        <v>46013</v>
      </c>
      <c r="P1212" s="1">
        <v>2085</v>
      </c>
      <c r="Q1212" s="1">
        <v>1600</v>
      </c>
      <c r="R1212" s="1">
        <f t="shared" si="408"/>
        <v>1600</v>
      </c>
      <c r="S1212" s="1">
        <v>1</v>
      </c>
      <c r="U1212" s="1">
        <f t="shared" si="409"/>
        <v>1058</v>
      </c>
      <c r="V1212" s="7">
        <f t="shared" si="410"/>
        <v>1.5122873345935728</v>
      </c>
      <c r="W1212" s="7">
        <f t="shared" si="411"/>
        <v>551.98487712665406</v>
      </c>
      <c r="X1212" s="7">
        <f t="shared" si="412"/>
        <v>0.68998109640831762</v>
      </c>
      <c r="AA1212" s="8">
        <f t="shared" si="413"/>
        <v>44927</v>
      </c>
      <c r="AB1212" s="8">
        <f t="shared" si="414"/>
        <v>45291</v>
      </c>
      <c r="AC1212" s="1">
        <v>26</v>
      </c>
      <c r="AD1212" s="1">
        <f t="shared" si="415"/>
        <v>0</v>
      </c>
      <c r="AE1212" s="1">
        <f t="shared" si="416"/>
        <v>336</v>
      </c>
      <c r="AF1212" s="1">
        <f t="shared" si="417"/>
        <v>0</v>
      </c>
      <c r="AG1212" s="1">
        <f t="shared" si="418"/>
        <v>0</v>
      </c>
      <c r="AH1212" s="1">
        <f t="shared" si="419"/>
        <v>0</v>
      </c>
      <c r="AI1212" s="5">
        <f t="shared" si="420"/>
        <v>0.92054794520547945</v>
      </c>
      <c r="AJ1212" s="5">
        <f t="shared" si="421"/>
        <v>0.63516068052930064</v>
      </c>
      <c r="AK1212" s="5">
        <f t="shared" si="422"/>
        <v>16.514177693761816</v>
      </c>
      <c r="AL1212" s="5">
        <f t="shared" si="423"/>
        <v>16.514177693761816</v>
      </c>
      <c r="AM1212" s="5">
        <f t="shared" si="424"/>
        <v>0</v>
      </c>
      <c r="AN1212" s="5">
        <f t="shared" si="425"/>
        <v>16.514177693761816</v>
      </c>
      <c r="AO1212" s="1" t="s">
        <v>102</v>
      </c>
    </row>
    <row r="1213" spans="1:41" x14ac:dyDescent="0.25">
      <c r="A1213" s="1" t="s">
        <v>19</v>
      </c>
      <c r="B1213" s="1" t="s">
        <v>54</v>
      </c>
      <c r="C1213" s="1" t="s">
        <v>21</v>
      </c>
      <c r="D1213" s="1" t="s">
        <v>55</v>
      </c>
      <c r="E1213" s="1" t="s">
        <v>96</v>
      </c>
      <c r="F1213" s="1" t="s">
        <v>103</v>
      </c>
      <c r="G1213" s="1" t="s">
        <v>127</v>
      </c>
      <c r="H1213" s="1" t="s">
        <v>1314</v>
      </c>
      <c r="I1213" s="1" t="s">
        <v>105</v>
      </c>
      <c r="J1213" s="1" t="s">
        <v>106</v>
      </c>
      <c r="L1213" s="1">
        <v>2947097</v>
      </c>
      <c r="M1213" s="1" t="s">
        <v>1357</v>
      </c>
      <c r="N1213" s="8">
        <f>DATE(2023,1,30)</f>
        <v>44956</v>
      </c>
      <c r="O1213" s="8">
        <f>DATE(2025,12,22)</f>
        <v>46013</v>
      </c>
      <c r="P1213" s="1">
        <v>2640</v>
      </c>
      <c r="Q1213" s="1">
        <v>2400</v>
      </c>
      <c r="R1213" s="1">
        <f t="shared" si="408"/>
        <v>2400</v>
      </c>
      <c r="S1213" s="1">
        <v>2.5</v>
      </c>
      <c r="U1213" s="1">
        <f t="shared" si="409"/>
        <v>1058</v>
      </c>
      <c r="V1213" s="7">
        <f t="shared" si="410"/>
        <v>2.2684310018903591</v>
      </c>
      <c r="W1213" s="7">
        <f t="shared" si="411"/>
        <v>827.97731568998108</v>
      </c>
      <c r="X1213" s="7">
        <f t="shared" si="412"/>
        <v>1.0349716446124764</v>
      </c>
      <c r="AA1213" s="8">
        <f t="shared" si="413"/>
        <v>44927</v>
      </c>
      <c r="AB1213" s="8">
        <f t="shared" si="414"/>
        <v>45291</v>
      </c>
      <c r="AC1213" s="1">
        <v>36</v>
      </c>
      <c r="AD1213" s="1">
        <f t="shared" si="415"/>
        <v>0</v>
      </c>
      <c r="AE1213" s="1">
        <f t="shared" si="416"/>
        <v>336</v>
      </c>
      <c r="AF1213" s="1">
        <f t="shared" si="417"/>
        <v>0</v>
      </c>
      <c r="AG1213" s="1">
        <f t="shared" si="418"/>
        <v>0</v>
      </c>
      <c r="AH1213" s="1">
        <f t="shared" si="419"/>
        <v>0</v>
      </c>
      <c r="AI1213" s="5">
        <f t="shared" si="420"/>
        <v>0.92054794520547945</v>
      </c>
      <c r="AJ1213" s="5">
        <f t="shared" si="421"/>
        <v>0.95274102079395084</v>
      </c>
      <c r="AK1213" s="5">
        <f t="shared" si="422"/>
        <v>34.298676748582231</v>
      </c>
      <c r="AL1213" s="5">
        <f t="shared" si="423"/>
        <v>85.746691871455582</v>
      </c>
      <c r="AM1213" s="5">
        <f t="shared" si="424"/>
        <v>42.873345935727791</v>
      </c>
      <c r="AN1213" s="5">
        <f t="shared" si="425"/>
        <v>128.62003780718337</v>
      </c>
      <c r="AO1213" s="1" t="s">
        <v>102</v>
      </c>
    </row>
    <row r="1214" spans="1:41" x14ac:dyDescent="0.25">
      <c r="A1214" s="1" t="s">
        <v>19</v>
      </c>
      <c r="B1214" s="1" t="s">
        <v>54</v>
      </c>
      <c r="C1214" s="1" t="s">
        <v>21</v>
      </c>
      <c r="D1214" s="1" t="s">
        <v>55</v>
      </c>
      <c r="E1214" s="1" t="s">
        <v>96</v>
      </c>
      <c r="F1214" s="1" t="s">
        <v>103</v>
      </c>
      <c r="G1214" s="1" t="s">
        <v>98</v>
      </c>
      <c r="H1214" s="1" t="s">
        <v>1312</v>
      </c>
      <c r="I1214" s="1" t="s">
        <v>105</v>
      </c>
      <c r="J1214" s="1" t="s">
        <v>106</v>
      </c>
      <c r="L1214" s="1">
        <v>2947098</v>
      </c>
      <c r="M1214" s="1" t="s">
        <v>1358</v>
      </c>
      <c r="N1214" s="8">
        <f>DATE(2023,1,30)</f>
        <v>44956</v>
      </c>
      <c r="O1214" s="8">
        <f>DATE(2027,12,22)</f>
        <v>46743</v>
      </c>
      <c r="P1214" s="1">
        <v>4579</v>
      </c>
      <c r="Q1214" s="1">
        <v>3600</v>
      </c>
      <c r="R1214" s="1">
        <f t="shared" si="408"/>
        <v>3600</v>
      </c>
      <c r="S1214" s="1">
        <v>2.5</v>
      </c>
      <c r="U1214" s="1">
        <f t="shared" si="409"/>
        <v>1788</v>
      </c>
      <c r="V1214" s="7">
        <f t="shared" si="410"/>
        <v>2.0134228187919465</v>
      </c>
      <c r="W1214" s="7">
        <f t="shared" si="411"/>
        <v>734.89932885906046</v>
      </c>
      <c r="X1214" s="7">
        <f t="shared" si="412"/>
        <v>0.91862416107382561</v>
      </c>
      <c r="AA1214" s="8">
        <f t="shared" si="413"/>
        <v>44927</v>
      </c>
      <c r="AB1214" s="8">
        <f t="shared" si="414"/>
        <v>45291</v>
      </c>
      <c r="AC1214" s="1">
        <v>35</v>
      </c>
      <c r="AD1214" s="1">
        <f t="shared" si="415"/>
        <v>0</v>
      </c>
      <c r="AE1214" s="1">
        <f t="shared" si="416"/>
        <v>336</v>
      </c>
      <c r="AF1214" s="1">
        <f t="shared" si="417"/>
        <v>0</v>
      </c>
      <c r="AG1214" s="1">
        <f t="shared" si="418"/>
        <v>0</v>
      </c>
      <c r="AH1214" s="1">
        <f t="shared" si="419"/>
        <v>0</v>
      </c>
      <c r="AI1214" s="5">
        <f t="shared" si="420"/>
        <v>0.92054794520547945</v>
      </c>
      <c r="AJ1214" s="5">
        <f t="shared" si="421"/>
        <v>0.84563758389261756</v>
      </c>
      <c r="AK1214" s="5">
        <f t="shared" si="422"/>
        <v>29.597315436241615</v>
      </c>
      <c r="AL1214" s="5">
        <f t="shared" si="423"/>
        <v>73.993288590604038</v>
      </c>
      <c r="AM1214" s="5">
        <f t="shared" si="424"/>
        <v>36.996644295302019</v>
      </c>
      <c r="AN1214" s="5">
        <f t="shared" si="425"/>
        <v>110.98993288590606</v>
      </c>
      <c r="AO1214" s="1" t="s">
        <v>102</v>
      </c>
    </row>
    <row r="1215" spans="1:41" x14ac:dyDescent="0.25">
      <c r="A1215" s="1" t="s">
        <v>19</v>
      </c>
      <c r="B1215" s="1" t="s">
        <v>54</v>
      </c>
      <c r="C1215" s="1" t="s">
        <v>21</v>
      </c>
      <c r="D1215" s="1" t="s">
        <v>55</v>
      </c>
      <c r="E1215" s="1" t="s">
        <v>96</v>
      </c>
      <c r="F1215" s="1" t="s">
        <v>103</v>
      </c>
      <c r="G1215" s="1" t="s">
        <v>185</v>
      </c>
      <c r="H1215" s="1" t="s">
        <v>493</v>
      </c>
      <c r="I1215" s="1" t="s">
        <v>174</v>
      </c>
      <c r="J1215" s="1" t="s">
        <v>101</v>
      </c>
      <c r="L1215" s="1">
        <v>2956171</v>
      </c>
      <c r="M1215" s="1" t="s">
        <v>1359</v>
      </c>
      <c r="N1215" s="8">
        <f>DATE(2023,3,17)</f>
        <v>45002</v>
      </c>
      <c r="O1215" s="8">
        <f>DATE(2024,9,20)</f>
        <v>45555</v>
      </c>
      <c r="P1215" s="1">
        <v>435</v>
      </c>
      <c r="Q1215" s="1">
        <v>360</v>
      </c>
      <c r="R1215" s="1">
        <f t="shared" si="408"/>
        <v>360</v>
      </c>
      <c r="S1215" s="1">
        <v>2</v>
      </c>
      <c r="U1215" s="1">
        <f t="shared" si="409"/>
        <v>554</v>
      </c>
      <c r="V1215" s="7">
        <f t="shared" si="410"/>
        <v>0.64981949458483756</v>
      </c>
      <c r="W1215" s="7">
        <f t="shared" si="411"/>
        <v>237.18411552346572</v>
      </c>
      <c r="X1215" s="7">
        <f t="shared" si="412"/>
        <v>0.29648014440433212</v>
      </c>
      <c r="AA1215" s="8">
        <f t="shared" si="413"/>
        <v>44927</v>
      </c>
      <c r="AB1215" s="8">
        <f t="shared" si="414"/>
        <v>45291</v>
      </c>
      <c r="AC1215" s="1">
        <v>33</v>
      </c>
      <c r="AD1215" s="1">
        <f t="shared" si="415"/>
        <v>0</v>
      </c>
      <c r="AE1215" s="1">
        <f t="shared" si="416"/>
        <v>290</v>
      </c>
      <c r="AF1215" s="1">
        <f t="shared" si="417"/>
        <v>0</v>
      </c>
      <c r="AG1215" s="1">
        <f t="shared" si="418"/>
        <v>0</v>
      </c>
      <c r="AH1215" s="1">
        <f t="shared" si="419"/>
        <v>0</v>
      </c>
      <c r="AI1215" s="5">
        <f t="shared" si="420"/>
        <v>0.79452054794520544</v>
      </c>
      <c r="AJ1215" s="5">
        <f t="shared" si="421"/>
        <v>0.2355595667870036</v>
      </c>
      <c r="AK1215" s="5">
        <f t="shared" si="422"/>
        <v>7.7734657039711186</v>
      </c>
      <c r="AL1215" s="5">
        <f t="shared" si="423"/>
        <v>15.546931407942237</v>
      </c>
      <c r="AM1215" s="5">
        <f t="shared" si="424"/>
        <v>0</v>
      </c>
      <c r="AN1215" s="5">
        <f t="shared" si="425"/>
        <v>15.546931407942237</v>
      </c>
      <c r="AO1215" s="1" t="s">
        <v>102</v>
      </c>
    </row>
    <row r="1216" spans="1:41" x14ac:dyDescent="0.25">
      <c r="A1216" s="1" t="s">
        <v>19</v>
      </c>
      <c r="B1216" s="1" t="s">
        <v>54</v>
      </c>
      <c r="C1216" s="1" t="s">
        <v>21</v>
      </c>
      <c r="D1216" s="1" t="s">
        <v>55</v>
      </c>
      <c r="E1216" s="1" t="s">
        <v>96</v>
      </c>
      <c r="F1216" s="1" t="s">
        <v>103</v>
      </c>
      <c r="G1216" s="1" t="s">
        <v>185</v>
      </c>
      <c r="H1216" s="1" t="s">
        <v>1330</v>
      </c>
      <c r="I1216" s="1" t="s">
        <v>157</v>
      </c>
      <c r="J1216" s="1" t="s">
        <v>101</v>
      </c>
      <c r="L1216" s="1">
        <v>2956172</v>
      </c>
      <c r="M1216" s="1" t="s">
        <v>1360</v>
      </c>
      <c r="N1216" s="8">
        <f>DATE(2023,3,17)</f>
        <v>45002</v>
      </c>
      <c r="O1216" s="8">
        <f>DATE(2024,9,20)</f>
        <v>45555</v>
      </c>
      <c r="P1216" s="1">
        <v>435</v>
      </c>
      <c r="Q1216" s="1">
        <v>360</v>
      </c>
      <c r="R1216" s="1">
        <f t="shared" si="408"/>
        <v>360</v>
      </c>
      <c r="S1216" s="1">
        <v>2.5</v>
      </c>
      <c r="U1216" s="1">
        <f t="shared" si="409"/>
        <v>554</v>
      </c>
      <c r="V1216" s="7">
        <f t="shared" si="410"/>
        <v>0.64981949458483756</v>
      </c>
      <c r="W1216" s="7">
        <f t="shared" si="411"/>
        <v>237.18411552346572</v>
      </c>
      <c r="X1216" s="7">
        <f t="shared" si="412"/>
        <v>0.29648014440433212</v>
      </c>
      <c r="AA1216" s="8">
        <f t="shared" si="413"/>
        <v>44927</v>
      </c>
      <c r="AB1216" s="8">
        <f t="shared" si="414"/>
        <v>45291</v>
      </c>
      <c r="AC1216" s="1">
        <v>18</v>
      </c>
      <c r="AD1216" s="1">
        <f t="shared" si="415"/>
        <v>0</v>
      </c>
      <c r="AE1216" s="1">
        <f t="shared" si="416"/>
        <v>290</v>
      </c>
      <c r="AF1216" s="1">
        <f t="shared" si="417"/>
        <v>0</v>
      </c>
      <c r="AG1216" s="1">
        <f t="shared" si="418"/>
        <v>0</v>
      </c>
      <c r="AH1216" s="1">
        <f t="shared" si="419"/>
        <v>0</v>
      </c>
      <c r="AI1216" s="5">
        <f t="shared" si="420"/>
        <v>0.79452054794520544</v>
      </c>
      <c r="AJ1216" s="5">
        <f t="shared" si="421"/>
        <v>0.2355595667870036</v>
      </c>
      <c r="AK1216" s="5">
        <f t="shared" si="422"/>
        <v>4.2400722021660648</v>
      </c>
      <c r="AL1216" s="5">
        <f t="shared" si="423"/>
        <v>10.600180505415162</v>
      </c>
      <c r="AM1216" s="5">
        <f t="shared" si="424"/>
        <v>0</v>
      </c>
      <c r="AN1216" s="5">
        <f t="shared" si="425"/>
        <v>10.600180505415162</v>
      </c>
      <c r="AO1216" s="1" t="s">
        <v>102</v>
      </c>
    </row>
    <row r="1217" spans="1:41" x14ac:dyDescent="0.25">
      <c r="A1217" s="1" t="s">
        <v>19</v>
      </c>
      <c r="B1217" s="1" t="s">
        <v>54</v>
      </c>
      <c r="C1217" s="1" t="s">
        <v>21</v>
      </c>
      <c r="D1217" s="1" t="s">
        <v>55</v>
      </c>
      <c r="E1217" s="1" t="s">
        <v>172</v>
      </c>
      <c r="F1217" s="1" t="s">
        <v>97</v>
      </c>
      <c r="G1217" s="1" t="s">
        <v>114</v>
      </c>
      <c r="H1217" s="1" t="s">
        <v>173</v>
      </c>
      <c r="I1217" s="1" t="s">
        <v>174</v>
      </c>
      <c r="J1217" s="1" t="s">
        <v>101</v>
      </c>
      <c r="K1217" s="1" t="s">
        <v>175</v>
      </c>
      <c r="L1217" s="1">
        <v>2961834</v>
      </c>
      <c r="M1217" s="1" t="s">
        <v>345</v>
      </c>
      <c r="N1217" s="8">
        <f>DATE(2023,4,3)</f>
        <v>45019</v>
      </c>
      <c r="O1217" s="8">
        <f>DATE(2024,10,31)</f>
        <v>45596</v>
      </c>
      <c r="P1217" s="1">
        <v>1200</v>
      </c>
      <c r="Q1217" s="1">
        <v>1200</v>
      </c>
      <c r="R1217" s="1">
        <f t="shared" si="408"/>
        <v>1200</v>
      </c>
      <c r="S1217" s="1">
        <v>2</v>
      </c>
      <c r="U1217" s="1">
        <f t="shared" si="409"/>
        <v>578</v>
      </c>
      <c r="V1217" s="7">
        <f t="shared" si="410"/>
        <v>2.0761245674740483</v>
      </c>
      <c r="W1217" s="7">
        <f t="shared" si="411"/>
        <v>757.78546712802768</v>
      </c>
      <c r="X1217" s="7">
        <f t="shared" si="412"/>
        <v>0.94723183391003463</v>
      </c>
      <c r="AA1217" s="8">
        <f t="shared" si="413"/>
        <v>44927</v>
      </c>
      <c r="AB1217" s="8">
        <f t="shared" si="414"/>
        <v>45291</v>
      </c>
      <c r="AC1217" s="1">
        <v>13</v>
      </c>
      <c r="AD1217" s="1">
        <f t="shared" si="415"/>
        <v>0</v>
      </c>
      <c r="AE1217" s="1">
        <f t="shared" si="416"/>
        <v>273</v>
      </c>
      <c r="AF1217" s="1">
        <f t="shared" si="417"/>
        <v>0</v>
      </c>
      <c r="AG1217" s="1">
        <f t="shared" si="418"/>
        <v>0</v>
      </c>
      <c r="AH1217" s="1">
        <f t="shared" si="419"/>
        <v>0</v>
      </c>
      <c r="AI1217" s="5">
        <f t="shared" si="420"/>
        <v>0.74794520547945209</v>
      </c>
      <c r="AJ1217" s="5">
        <f t="shared" si="421"/>
        <v>0.70847750865051906</v>
      </c>
      <c r="AK1217" s="5">
        <f t="shared" si="422"/>
        <v>9.2102076124567471</v>
      </c>
      <c r="AL1217" s="5">
        <f t="shared" si="423"/>
        <v>18.420415224913494</v>
      </c>
      <c r="AM1217" s="5">
        <f t="shared" si="424"/>
        <v>0</v>
      </c>
      <c r="AN1217" s="5">
        <f t="shared" si="425"/>
        <v>18.420415224913494</v>
      </c>
      <c r="AO1217" s="1" t="s">
        <v>111</v>
      </c>
    </row>
    <row r="1218" spans="1:41" x14ac:dyDescent="0.25">
      <c r="A1218" s="1" t="s">
        <v>19</v>
      </c>
      <c r="B1218" s="1" t="s">
        <v>54</v>
      </c>
      <c r="C1218" s="1" t="s">
        <v>21</v>
      </c>
      <c r="D1218" s="1" t="s">
        <v>55</v>
      </c>
      <c r="E1218" s="1" t="s">
        <v>172</v>
      </c>
      <c r="F1218" s="1" t="s">
        <v>97</v>
      </c>
      <c r="G1218" s="1" t="s">
        <v>114</v>
      </c>
      <c r="H1218" s="1" t="s">
        <v>177</v>
      </c>
      <c r="I1218" s="1" t="s">
        <v>174</v>
      </c>
      <c r="J1218" s="1" t="s">
        <v>101</v>
      </c>
      <c r="K1218" s="1" t="s">
        <v>175</v>
      </c>
      <c r="L1218" s="1">
        <v>2961837</v>
      </c>
      <c r="M1218" s="1" t="s">
        <v>346</v>
      </c>
      <c r="N1218" s="8">
        <f>DATE(2023,4,3)</f>
        <v>45019</v>
      </c>
      <c r="O1218" s="8">
        <f>DATE(2024,10,31)</f>
        <v>45596</v>
      </c>
      <c r="P1218" s="1">
        <v>1200</v>
      </c>
      <c r="Q1218" s="1">
        <v>1200</v>
      </c>
      <c r="R1218" s="1">
        <f t="shared" si="408"/>
        <v>1200</v>
      </c>
      <c r="S1218" s="1">
        <v>1</v>
      </c>
      <c r="U1218" s="1">
        <f t="shared" si="409"/>
        <v>578</v>
      </c>
      <c r="V1218" s="7">
        <f t="shared" si="410"/>
        <v>2.0761245674740483</v>
      </c>
      <c r="W1218" s="7">
        <f t="shared" si="411"/>
        <v>757.78546712802768</v>
      </c>
      <c r="X1218" s="7">
        <f t="shared" si="412"/>
        <v>0.94723183391003463</v>
      </c>
      <c r="AA1218" s="8">
        <f t="shared" si="413"/>
        <v>44927</v>
      </c>
      <c r="AB1218" s="8">
        <f t="shared" si="414"/>
        <v>45291</v>
      </c>
      <c r="AC1218" s="1">
        <v>22</v>
      </c>
      <c r="AD1218" s="1">
        <f t="shared" si="415"/>
        <v>0</v>
      </c>
      <c r="AE1218" s="1">
        <f t="shared" si="416"/>
        <v>273</v>
      </c>
      <c r="AF1218" s="1">
        <f t="shared" si="417"/>
        <v>0</v>
      </c>
      <c r="AG1218" s="1">
        <f t="shared" si="418"/>
        <v>0</v>
      </c>
      <c r="AH1218" s="1">
        <f t="shared" si="419"/>
        <v>0</v>
      </c>
      <c r="AI1218" s="5">
        <f t="shared" si="420"/>
        <v>0.74794520547945209</v>
      </c>
      <c r="AJ1218" s="5">
        <f t="shared" si="421"/>
        <v>0.70847750865051906</v>
      </c>
      <c r="AK1218" s="5">
        <f t="shared" si="422"/>
        <v>15.586505190311419</v>
      </c>
      <c r="AL1218" s="5">
        <f t="shared" si="423"/>
        <v>15.586505190311419</v>
      </c>
      <c r="AM1218" s="5">
        <f t="shared" si="424"/>
        <v>0</v>
      </c>
      <c r="AN1218" s="5">
        <f t="shared" si="425"/>
        <v>15.586505190311419</v>
      </c>
      <c r="AO1218" s="1" t="s">
        <v>111</v>
      </c>
    </row>
    <row r="1219" spans="1:41" x14ac:dyDescent="0.25">
      <c r="A1219" s="1" t="s">
        <v>19</v>
      </c>
      <c r="B1219" s="1" t="s">
        <v>54</v>
      </c>
      <c r="C1219" s="1" t="s">
        <v>21</v>
      </c>
      <c r="D1219" s="1" t="s">
        <v>55</v>
      </c>
      <c r="E1219" s="1" t="s">
        <v>172</v>
      </c>
      <c r="F1219" s="1" t="s">
        <v>97</v>
      </c>
      <c r="G1219" s="1" t="s">
        <v>114</v>
      </c>
      <c r="H1219" s="1" t="s">
        <v>179</v>
      </c>
      <c r="I1219" s="1" t="s">
        <v>174</v>
      </c>
      <c r="J1219" s="1" t="s">
        <v>101</v>
      </c>
      <c r="K1219" s="1" t="s">
        <v>175</v>
      </c>
      <c r="L1219" s="1">
        <v>2961843</v>
      </c>
      <c r="M1219" s="1" t="s">
        <v>347</v>
      </c>
      <c r="N1219" s="8">
        <f>DATE(2023,4,3)</f>
        <v>45019</v>
      </c>
      <c r="O1219" s="8">
        <f>DATE(2024,10,31)</f>
        <v>45596</v>
      </c>
      <c r="P1219" s="1">
        <v>1200</v>
      </c>
      <c r="Q1219" s="1">
        <v>800</v>
      </c>
      <c r="R1219" s="1">
        <f t="shared" si="408"/>
        <v>800</v>
      </c>
      <c r="S1219" s="1">
        <v>1.5</v>
      </c>
      <c r="U1219" s="1">
        <f t="shared" si="409"/>
        <v>578</v>
      </c>
      <c r="V1219" s="7">
        <f t="shared" si="410"/>
        <v>1.3840830449826989</v>
      </c>
      <c r="W1219" s="7">
        <f t="shared" si="411"/>
        <v>505.1903114186851</v>
      </c>
      <c r="X1219" s="7">
        <f t="shared" si="412"/>
        <v>0.63148788927335642</v>
      </c>
      <c r="AA1219" s="8">
        <f t="shared" si="413"/>
        <v>44927</v>
      </c>
      <c r="AB1219" s="8">
        <f t="shared" si="414"/>
        <v>45291</v>
      </c>
      <c r="AC1219" s="1">
        <v>13</v>
      </c>
      <c r="AD1219" s="1">
        <f t="shared" si="415"/>
        <v>0</v>
      </c>
      <c r="AE1219" s="1">
        <f t="shared" si="416"/>
        <v>273</v>
      </c>
      <c r="AF1219" s="1">
        <f t="shared" si="417"/>
        <v>0</v>
      </c>
      <c r="AG1219" s="1">
        <f t="shared" si="418"/>
        <v>0</v>
      </c>
      <c r="AH1219" s="1">
        <f t="shared" si="419"/>
        <v>0</v>
      </c>
      <c r="AI1219" s="5">
        <f t="shared" si="420"/>
        <v>0.74794520547945209</v>
      </c>
      <c r="AJ1219" s="5">
        <f t="shared" si="421"/>
        <v>0.47231833910034604</v>
      </c>
      <c r="AK1219" s="5">
        <f t="shared" si="422"/>
        <v>6.1401384083044981</v>
      </c>
      <c r="AL1219" s="5">
        <f t="shared" si="423"/>
        <v>9.2102076124567471</v>
      </c>
      <c r="AM1219" s="5">
        <f t="shared" si="424"/>
        <v>0</v>
      </c>
      <c r="AN1219" s="5">
        <f t="shared" si="425"/>
        <v>9.2102076124567471</v>
      </c>
      <c r="AO1219" s="1" t="s">
        <v>111</v>
      </c>
    </row>
    <row r="1220" spans="1:41" x14ac:dyDescent="0.25">
      <c r="A1220" s="1" t="s">
        <v>19</v>
      </c>
      <c r="B1220" s="1" t="s">
        <v>56</v>
      </c>
      <c r="C1220" s="1" t="s">
        <v>21</v>
      </c>
      <c r="D1220" s="1" t="s">
        <v>57</v>
      </c>
      <c r="E1220" s="1" t="s">
        <v>96</v>
      </c>
      <c r="F1220" s="1" t="s">
        <v>103</v>
      </c>
      <c r="G1220" s="1" t="s">
        <v>114</v>
      </c>
      <c r="H1220" s="1" t="s">
        <v>249</v>
      </c>
      <c r="I1220" s="1" t="s">
        <v>162</v>
      </c>
      <c r="J1220" s="1" t="s">
        <v>101</v>
      </c>
      <c r="K1220" s="1" t="s">
        <v>116</v>
      </c>
      <c r="L1220" s="1">
        <v>2575533</v>
      </c>
      <c r="M1220" s="1" t="s">
        <v>1361</v>
      </c>
      <c r="N1220" s="8">
        <f>DATE(2019,2,4)</f>
        <v>43500</v>
      </c>
      <c r="O1220" s="8">
        <f>DATE(2021,12,22)</f>
        <v>44552</v>
      </c>
      <c r="P1220" s="1">
        <v>3536</v>
      </c>
      <c r="Q1220" s="1">
        <v>1000</v>
      </c>
      <c r="R1220" s="1">
        <f t="shared" si="408"/>
        <v>3100</v>
      </c>
      <c r="S1220" s="1">
        <v>1.5</v>
      </c>
      <c r="U1220" s="1">
        <f t="shared" si="409"/>
        <v>1053</v>
      </c>
      <c r="V1220" s="7">
        <f t="shared" si="410"/>
        <v>2.9439696106362772</v>
      </c>
      <c r="W1220" s="7">
        <f t="shared" si="411"/>
        <v>1074.5489078822411</v>
      </c>
      <c r="X1220" s="7">
        <f t="shared" si="412"/>
        <v>1.3431861348528014</v>
      </c>
      <c r="AA1220" s="8">
        <f t="shared" si="413"/>
        <v>44927</v>
      </c>
      <c r="AB1220" s="8">
        <f t="shared" si="414"/>
        <v>45291</v>
      </c>
      <c r="AC1220" s="1">
        <v>1</v>
      </c>
      <c r="AD1220" s="1">
        <f t="shared" si="415"/>
        <v>0</v>
      </c>
      <c r="AE1220" s="1">
        <f t="shared" si="416"/>
        <v>0</v>
      </c>
      <c r="AF1220" s="1">
        <f t="shared" si="417"/>
        <v>0</v>
      </c>
      <c r="AG1220" s="1">
        <f t="shared" si="418"/>
        <v>0</v>
      </c>
      <c r="AH1220" s="1">
        <f t="shared" si="419"/>
        <v>182.5</v>
      </c>
      <c r="AI1220" s="5">
        <f t="shared" si="420"/>
        <v>0.5</v>
      </c>
      <c r="AJ1220" s="5">
        <f t="shared" si="421"/>
        <v>0.67159306742640068</v>
      </c>
      <c r="AK1220" s="5">
        <f t="shared" si="422"/>
        <v>0.33579653371320034</v>
      </c>
      <c r="AL1220" s="5">
        <f t="shared" si="423"/>
        <v>0.50369480056980054</v>
      </c>
      <c r="AM1220" s="5">
        <f t="shared" si="424"/>
        <v>0</v>
      </c>
      <c r="AN1220" s="5">
        <f t="shared" si="425"/>
        <v>0.50369480056980054</v>
      </c>
      <c r="AO1220" s="1" t="s">
        <v>102</v>
      </c>
    </row>
    <row r="1221" spans="1:41" x14ac:dyDescent="0.25">
      <c r="A1221" s="1" t="s">
        <v>19</v>
      </c>
      <c r="B1221" s="1" t="s">
        <v>56</v>
      </c>
      <c r="C1221" s="1" t="s">
        <v>21</v>
      </c>
      <c r="D1221" s="1" t="s">
        <v>57</v>
      </c>
      <c r="E1221" s="1" t="s">
        <v>96</v>
      </c>
      <c r="F1221" s="1" t="s">
        <v>103</v>
      </c>
      <c r="G1221" s="1" t="s">
        <v>127</v>
      </c>
      <c r="H1221" s="1" t="s">
        <v>128</v>
      </c>
      <c r="I1221" s="1" t="s">
        <v>100</v>
      </c>
      <c r="J1221" s="1" t="s">
        <v>101</v>
      </c>
      <c r="L1221" s="1">
        <v>2575596</v>
      </c>
      <c r="M1221" s="1" t="s">
        <v>1362</v>
      </c>
      <c r="N1221" s="8">
        <f>DATE(2019,2,4)</f>
        <v>43500</v>
      </c>
      <c r="O1221" s="8">
        <f>DATE(2021,7,9)</f>
        <v>44386</v>
      </c>
      <c r="P1221" s="1">
        <v>1800</v>
      </c>
      <c r="Q1221" s="1">
        <v>1600</v>
      </c>
      <c r="R1221" s="1">
        <f t="shared" si="408"/>
        <v>1600</v>
      </c>
      <c r="S1221" s="1">
        <v>1</v>
      </c>
      <c r="U1221" s="1">
        <f t="shared" si="409"/>
        <v>887</v>
      </c>
      <c r="V1221" s="7">
        <f t="shared" si="410"/>
        <v>1.8038331454340473</v>
      </c>
      <c r="W1221" s="7">
        <f t="shared" si="411"/>
        <v>658.39909808342725</v>
      </c>
      <c r="X1221" s="7">
        <f t="shared" si="412"/>
        <v>0.82299887260428406</v>
      </c>
      <c r="AA1221" s="8">
        <f t="shared" si="413"/>
        <v>44927</v>
      </c>
      <c r="AB1221" s="8">
        <f t="shared" si="414"/>
        <v>45291</v>
      </c>
      <c r="AC1221" s="1">
        <v>6</v>
      </c>
      <c r="AD1221" s="1">
        <f t="shared" si="415"/>
        <v>0</v>
      </c>
      <c r="AE1221" s="1">
        <f t="shared" si="416"/>
        <v>0</v>
      </c>
      <c r="AF1221" s="1">
        <f t="shared" si="417"/>
        <v>0</v>
      </c>
      <c r="AG1221" s="1">
        <f t="shared" si="418"/>
        <v>0</v>
      </c>
      <c r="AH1221" s="1">
        <f t="shared" si="419"/>
        <v>182.5</v>
      </c>
      <c r="AI1221" s="5">
        <f t="shared" si="420"/>
        <v>0.5</v>
      </c>
      <c r="AJ1221" s="5">
        <f t="shared" si="421"/>
        <v>0.41149943630214203</v>
      </c>
      <c r="AK1221" s="5">
        <f t="shared" si="422"/>
        <v>1.2344983089064261</v>
      </c>
      <c r="AL1221" s="5">
        <f t="shared" si="423"/>
        <v>1.2344983089064261</v>
      </c>
      <c r="AM1221" s="5">
        <f t="shared" si="424"/>
        <v>0</v>
      </c>
      <c r="AN1221" s="5">
        <f t="shared" si="425"/>
        <v>1.2344983089064261</v>
      </c>
      <c r="AO1221" s="1" t="s">
        <v>102</v>
      </c>
    </row>
    <row r="1222" spans="1:41" x14ac:dyDescent="0.25">
      <c r="A1222" s="1" t="s">
        <v>19</v>
      </c>
      <c r="B1222" s="1" t="s">
        <v>56</v>
      </c>
      <c r="C1222" s="1" t="s">
        <v>21</v>
      </c>
      <c r="D1222" s="1" t="s">
        <v>57</v>
      </c>
      <c r="E1222" s="1" t="s">
        <v>96</v>
      </c>
      <c r="F1222" s="1" t="s">
        <v>103</v>
      </c>
      <c r="G1222" s="1" t="s">
        <v>127</v>
      </c>
      <c r="H1222" s="1" t="s">
        <v>128</v>
      </c>
      <c r="I1222" s="1" t="s">
        <v>100</v>
      </c>
      <c r="J1222" s="1" t="s">
        <v>101</v>
      </c>
      <c r="L1222" s="1">
        <v>2658128</v>
      </c>
      <c r="M1222" s="1" t="s">
        <v>1363</v>
      </c>
      <c r="N1222" s="8">
        <f>DATE(2019,2,4)</f>
        <v>43500</v>
      </c>
      <c r="O1222" s="8">
        <f>DATE(2021,7,16)</f>
        <v>44393</v>
      </c>
      <c r="P1222" s="1">
        <v>1800</v>
      </c>
      <c r="Q1222" s="1">
        <v>1600</v>
      </c>
      <c r="R1222" s="1">
        <f t="shared" si="408"/>
        <v>1600</v>
      </c>
      <c r="S1222" s="1">
        <v>1</v>
      </c>
      <c r="U1222" s="1">
        <f t="shared" si="409"/>
        <v>894</v>
      </c>
      <c r="V1222" s="7">
        <f t="shared" si="410"/>
        <v>1.7897091722595078</v>
      </c>
      <c r="W1222" s="7">
        <f t="shared" si="411"/>
        <v>653.24384787472036</v>
      </c>
      <c r="X1222" s="7">
        <f t="shared" si="412"/>
        <v>0.81655480984340045</v>
      </c>
      <c r="AA1222" s="8">
        <f t="shared" si="413"/>
        <v>44927</v>
      </c>
      <c r="AB1222" s="8">
        <f t="shared" si="414"/>
        <v>45291</v>
      </c>
      <c r="AC1222" s="1">
        <v>3</v>
      </c>
      <c r="AD1222" s="1">
        <f t="shared" si="415"/>
        <v>0</v>
      </c>
      <c r="AE1222" s="1">
        <f t="shared" si="416"/>
        <v>0</v>
      </c>
      <c r="AF1222" s="1">
        <f t="shared" si="417"/>
        <v>0</v>
      </c>
      <c r="AG1222" s="1">
        <f t="shared" si="418"/>
        <v>0</v>
      </c>
      <c r="AH1222" s="1">
        <f t="shared" si="419"/>
        <v>182.5</v>
      </c>
      <c r="AI1222" s="5">
        <f t="shared" si="420"/>
        <v>0.5</v>
      </c>
      <c r="AJ1222" s="5">
        <f t="shared" si="421"/>
        <v>0.40827740492170023</v>
      </c>
      <c r="AK1222" s="5">
        <f t="shared" si="422"/>
        <v>0.61241610738255037</v>
      </c>
      <c r="AL1222" s="5">
        <f t="shared" si="423"/>
        <v>0.61241610738255037</v>
      </c>
      <c r="AM1222" s="5">
        <f t="shared" si="424"/>
        <v>0</v>
      </c>
      <c r="AN1222" s="5">
        <f t="shared" si="425"/>
        <v>0.61241610738255037</v>
      </c>
      <c r="AO1222" s="1" t="s">
        <v>102</v>
      </c>
    </row>
    <row r="1223" spans="1:41" x14ac:dyDescent="0.25">
      <c r="A1223" s="1" t="s">
        <v>19</v>
      </c>
      <c r="B1223" s="1" t="s">
        <v>56</v>
      </c>
      <c r="C1223" s="1" t="s">
        <v>21</v>
      </c>
      <c r="D1223" s="1" t="s">
        <v>57</v>
      </c>
      <c r="E1223" s="1" t="s">
        <v>96</v>
      </c>
      <c r="F1223" s="1" t="s">
        <v>103</v>
      </c>
      <c r="G1223" s="1" t="s">
        <v>114</v>
      </c>
      <c r="H1223" s="1" t="s">
        <v>249</v>
      </c>
      <c r="I1223" s="1" t="s">
        <v>162</v>
      </c>
      <c r="J1223" s="1" t="s">
        <v>101</v>
      </c>
      <c r="K1223" s="1" t="s">
        <v>116</v>
      </c>
      <c r="L1223" s="1">
        <v>2674786</v>
      </c>
      <c r="M1223" s="1" t="s">
        <v>1364</v>
      </c>
      <c r="N1223" s="8">
        <f>DATE(2020,2,3)</f>
        <v>43864</v>
      </c>
      <c r="O1223" s="8">
        <f>DATE(2022,12,16)</f>
        <v>44911</v>
      </c>
      <c r="P1223" s="1">
        <v>3536</v>
      </c>
      <c r="Q1223" s="1">
        <v>1000</v>
      </c>
      <c r="R1223" s="1">
        <f t="shared" si="408"/>
        <v>3100</v>
      </c>
      <c r="S1223" s="1">
        <v>1.5</v>
      </c>
      <c r="U1223" s="1">
        <f t="shared" si="409"/>
        <v>1048</v>
      </c>
      <c r="V1223" s="7">
        <f t="shared" si="410"/>
        <v>2.9580152671755724</v>
      </c>
      <c r="W1223" s="7">
        <f t="shared" si="411"/>
        <v>1079.675572519084</v>
      </c>
      <c r="X1223" s="7">
        <f t="shared" si="412"/>
        <v>1.349594465648855</v>
      </c>
      <c r="AA1223" s="8">
        <f t="shared" si="413"/>
        <v>44927</v>
      </c>
      <c r="AB1223" s="8">
        <f t="shared" si="414"/>
        <v>45291</v>
      </c>
      <c r="AC1223" s="1">
        <v>2</v>
      </c>
      <c r="AD1223" s="1">
        <f t="shared" si="415"/>
        <v>0</v>
      </c>
      <c r="AE1223" s="1">
        <f t="shared" si="416"/>
        <v>0</v>
      </c>
      <c r="AF1223" s="1">
        <f t="shared" si="417"/>
        <v>0</v>
      </c>
      <c r="AG1223" s="1">
        <f t="shared" si="418"/>
        <v>0</v>
      </c>
      <c r="AH1223" s="1">
        <f t="shared" si="419"/>
        <v>182.5</v>
      </c>
      <c r="AI1223" s="5">
        <f t="shared" si="420"/>
        <v>0.5</v>
      </c>
      <c r="AJ1223" s="5">
        <f t="shared" si="421"/>
        <v>0.6747972328244275</v>
      </c>
      <c r="AK1223" s="5">
        <f t="shared" si="422"/>
        <v>0.6747972328244275</v>
      </c>
      <c r="AL1223" s="5">
        <f t="shared" si="423"/>
        <v>1.0121958492366412</v>
      </c>
      <c r="AM1223" s="5">
        <f t="shared" si="424"/>
        <v>0</v>
      </c>
      <c r="AN1223" s="5">
        <f t="shared" si="425"/>
        <v>1.0121958492366412</v>
      </c>
      <c r="AO1223" s="1" t="s">
        <v>102</v>
      </c>
    </row>
    <row r="1224" spans="1:41" x14ac:dyDescent="0.25">
      <c r="A1224" s="1" t="s">
        <v>19</v>
      </c>
      <c r="B1224" s="1" t="s">
        <v>56</v>
      </c>
      <c r="C1224" s="1" t="s">
        <v>21</v>
      </c>
      <c r="D1224" s="1" t="s">
        <v>57</v>
      </c>
      <c r="E1224" s="1" t="s">
        <v>96</v>
      </c>
      <c r="F1224" s="1" t="s">
        <v>103</v>
      </c>
      <c r="G1224" s="1" t="s">
        <v>114</v>
      </c>
      <c r="H1224" s="1" t="s">
        <v>1365</v>
      </c>
      <c r="I1224" s="1" t="s">
        <v>100</v>
      </c>
      <c r="J1224" s="1" t="s">
        <v>101</v>
      </c>
      <c r="K1224" s="1" t="s">
        <v>116</v>
      </c>
      <c r="L1224" s="1">
        <v>2674787</v>
      </c>
      <c r="M1224" s="1" t="s">
        <v>1366</v>
      </c>
      <c r="N1224" s="8">
        <f>DATE(2020,2,3)</f>
        <v>43864</v>
      </c>
      <c r="O1224" s="8">
        <f>DATE(2022,12,16)</f>
        <v>44911</v>
      </c>
      <c r="P1224" s="1">
        <v>3332</v>
      </c>
      <c r="Q1224" s="1">
        <v>800</v>
      </c>
      <c r="R1224" s="1">
        <f t="shared" si="408"/>
        <v>3000</v>
      </c>
      <c r="S1224" s="1">
        <v>1.5</v>
      </c>
      <c r="U1224" s="1">
        <f t="shared" si="409"/>
        <v>1048</v>
      </c>
      <c r="V1224" s="7">
        <f t="shared" si="410"/>
        <v>2.8625954198473282</v>
      </c>
      <c r="W1224" s="7">
        <f t="shared" si="411"/>
        <v>1044.8473282442749</v>
      </c>
      <c r="X1224" s="7">
        <f t="shared" si="412"/>
        <v>1.3060591603053435</v>
      </c>
      <c r="AA1224" s="8">
        <f t="shared" si="413"/>
        <v>44927</v>
      </c>
      <c r="AB1224" s="8">
        <f t="shared" si="414"/>
        <v>45291</v>
      </c>
      <c r="AC1224" s="1">
        <v>0</v>
      </c>
      <c r="AD1224" s="1">
        <f t="shared" si="415"/>
        <v>0</v>
      </c>
      <c r="AE1224" s="1">
        <f t="shared" si="416"/>
        <v>0</v>
      </c>
      <c r="AF1224" s="1">
        <f t="shared" si="417"/>
        <v>0</v>
      </c>
      <c r="AG1224" s="1">
        <f t="shared" si="418"/>
        <v>0</v>
      </c>
      <c r="AH1224" s="1">
        <f t="shared" si="419"/>
        <v>182.5</v>
      </c>
      <c r="AI1224" s="5">
        <f t="shared" si="420"/>
        <v>0.5</v>
      </c>
      <c r="AJ1224" s="5">
        <f t="shared" si="421"/>
        <v>0.65302958015267176</v>
      </c>
      <c r="AK1224" s="5">
        <f t="shared" si="422"/>
        <v>0</v>
      </c>
      <c r="AL1224" s="5">
        <f t="shared" si="423"/>
        <v>0</v>
      </c>
      <c r="AM1224" s="5">
        <f t="shared" si="424"/>
        <v>0</v>
      </c>
      <c r="AN1224" s="5">
        <f t="shared" si="425"/>
        <v>0</v>
      </c>
      <c r="AO1224" s="1" t="s">
        <v>102</v>
      </c>
    </row>
    <row r="1225" spans="1:41" x14ac:dyDescent="0.25">
      <c r="A1225" s="1" t="s">
        <v>19</v>
      </c>
      <c r="B1225" s="1" t="s">
        <v>56</v>
      </c>
      <c r="C1225" s="1" t="s">
        <v>21</v>
      </c>
      <c r="D1225" s="1" t="s">
        <v>57</v>
      </c>
      <c r="E1225" s="1" t="s">
        <v>96</v>
      </c>
      <c r="F1225" s="1" t="s">
        <v>103</v>
      </c>
      <c r="G1225" s="1" t="s">
        <v>127</v>
      </c>
      <c r="H1225" s="1" t="s">
        <v>128</v>
      </c>
      <c r="I1225" s="1" t="s">
        <v>100</v>
      </c>
      <c r="J1225" s="1" t="s">
        <v>101</v>
      </c>
      <c r="L1225" s="1">
        <v>2683966</v>
      </c>
      <c r="M1225" s="1" t="s">
        <v>1367</v>
      </c>
      <c r="N1225" s="8">
        <f>DATE(2020,2,3)</f>
        <v>43864</v>
      </c>
      <c r="O1225" s="8">
        <f>DATE(2022,7,15)</f>
        <v>44757</v>
      </c>
      <c r="P1225" s="1">
        <v>1800</v>
      </c>
      <c r="Q1225" s="1">
        <v>1600</v>
      </c>
      <c r="R1225" s="1">
        <f t="shared" si="408"/>
        <v>1600</v>
      </c>
      <c r="S1225" s="1">
        <v>1</v>
      </c>
      <c r="U1225" s="1">
        <f t="shared" si="409"/>
        <v>894</v>
      </c>
      <c r="V1225" s="7">
        <f t="shared" si="410"/>
        <v>1.7897091722595078</v>
      </c>
      <c r="W1225" s="7">
        <f t="shared" si="411"/>
        <v>653.24384787472036</v>
      </c>
      <c r="X1225" s="7">
        <f t="shared" si="412"/>
        <v>0.81655480984340045</v>
      </c>
      <c r="AA1225" s="8">
        <f t="shared" si="413"/>
        <v>44927</v>
      </c>
      <c r="AB1225" s="8">
        <f t="shared" si="414"/>
        <v>45291</v>
      </c>
      <c r="AC1225" s="1">
        <v>8</v>
      </c>
      <c r="AD1225" s="1">
        <f t="shared" si="415"/>
        <v>0</v>
      </c>
      <c r="AE1225" s="1">
        <f t="shared" si="416"/>
        <v>0</v>
      </c>
      <c r="AF1225" s="1">
        <f t="shared" si="417"/>
        <v>0</v>
      </c>
      <c r="AG1225" s="1">
        <f t="shared" si="418"/>
        <v>0</v>
      </c>
      <c r="AH1225" s="1">
        <f t="shared" si="419"/>
        <v>182.5</v>
      </c>
      <c r="AI1225" s="5">
        <f t="shared" si="420"/>
        <v>0.5</v>
      </c>
      <c r="AJ1225" s="5">
        <f t="shared" si="421"/>
        <v>0.40827740492170023</v>
      </c>
      <c r="AK1225" s="5">
        <f t="shared" si="422"/>
        <v>1.6331096196868009</v>
      </c>
      <c r="AL1225" s="5">
        <f t="shared" si="423"/>
        <v>1.6331096196868009</v>
      </c>
      <c r="AM1225" s="5">
        <f t="shared" si="424"/>
        <v>0</v>
      </c>
      <c r="AN1225" s="5">
        <f t="shared" si="425"/>
        <v>1.6331096196868009</v>
      </c>
      <c r="AO1225" s="1" t="s">
        <v>102</v>
      </c>
    </row>
    <row r="1226" spans="1:41" x14ac:dyDescent="0.25">
      <c r="A1226" s="1" t="s">
        <v>19</v>
      </c>
      <c r="B1226" s="1" t="s">
        <v>56</v>
      </c>
      <c r="C1226" s="1" t="s">
        <v>21</v>
      </c>
      <c r="D1226" s="1" t="s">
        <v>57</v>
      </c>
      <c r="E1226" s="1" t="s">
        <v>96</v>
      </c>
      <c r="F1226" s="1" t="s">
        <v>103</v>
      </c>
      <c r="G1226" s="1" t="s">
        <v>127</v>
      </c>
      <c r="H1226" s="1" t="s">
        <v>128</v>
      </c>
      <c r="I1226" s="1" t="s">
        <v>100</v>
      </c>
      <c r="J1226" s="1" t="s">
        <v>101</v>
      </c>
      <c r="L1226" s="1">
        <v>2684543</v>
      </c>
      <c r="M1226" s="1" t="s">
        <v>1368</v>
      </c>
      <c r="N1226" s="8">
        <f>DATE(2020,2,10)</f>
        <v>43871</v>
      </c>
      <c r="O1226" s="8">
        <f>DATE(2022,7,15)</f>
        <v>44757</v>
      </c>
      <c r="P1226" s="1">
        <v>1800</v>
      </c>
      <c r="Q1226" s="1">
        <v>1600</v>
      </c>
      <c r="R1226" s="1">
        <f t="shared" si="408"/>
        <v>1600</v>
      </c>
      <c r="S1226" s="1">
        <v>1</v>
      </c>
      <c r="U1226" s="1">
        <f t="shared" si="409"/>
        <v>887</v>
      </c>
      <c r="V1226" s="7">
        <f t="shared" si="410"/>
        <v>1.8038331454340473</v>
      </c>
      <c r="W1226" s="7">
        <f t="shared" si="411"/>
        <v>658.39909808342725</v>
      </c>
      <c r="X1226" s="7">
        <f t="shared" si="412"/>
        <v>0.82299887260428406</v>
      </c>
      <c r="AA1226" s="8">
        <f t="shared" si="413"/>
        <v>44927</v>
      </c>
      <c r="AB1226" s="8">
        <f t="shared" si="414"/>
        <v>45291</v>
      </c>
      <c r="AC1226" s="1">
        <v>3</v>
      </c>
      <c r="AD1226" s="1">
        <f t="shared" si="415"/>
        <v>0</v>
      </c>
      <c r="AE1226" s="1">
        <f t="shared" si="416"/>
        <v>0</v>
      </c>
      <c r="AF1226" s="1">
        <f t="shared" si="417"/>
        <v>0</v>
      </c>
      <c r="AG1226" s="1">
        <f t="shared" si="418"/>
        <v>0</v>
      </c>
      <c r="AH1226" s="1">
        <f t="shared" si="419"/>
        <v>182.5</v>
      </c>
      <c r="AI1226" s="5">
        <f t="shared" si="420"/>
        <v>0.5</v>
      </c>
      <c r="AJ1226" s="5">
        <f t="shared" si="421"/>
        <v>0.41149943630214203</v>
      </c>
      <c r="AK1226" s="5">
        <f t="shared" si="422"/>
        <v>0.61724915445321304</v>
      </c>
      <c r="AL1226" s="5">
        <f t="shared" si="423"/>
        <v>0.61724915445321304</v>
      </c>
      <c r="AM1226" s="5">
        <f t="shared" si="424"/>
        <v>0</v>
      </c>
      <c r="AN1226" s="5">
        <f t="shared" si="425"/>
        <v>0.61724915445321304</v>
      </c>
      <c r="AO1226" s="1" t="s">
        <v>102</v>
      </c>
    </row>
    <row r="1227" spans="1:41" x14ac:dyDescent="0.25">
      <c r="A1227" s="1" t="s">
        <v>19</v>
      </c>
      <c r="B1227" s="1" t="s">
        <v>56</v>
      </c>
      <c r="C1227" s="1" t="s">
        <v>21</v>
      </c>
      <c r="D1227" s="1" t="s">
        <v>57</v>
      </c>
      <c r="E1227" s="1" t="s">
        <v>96</v>
      </c>
      <c r="F1227" s="1" t="s">
        <v>103</v>
      </c>
      <c r="G1227" s="1" t="s">
        <v>114</v>
      </c>
      <c r="H1227" s="1" t="s">
        <v>249</v>
      </c>
      <c r="I1227" s="1" t="s">
        <v>162</v>
      </c>
      <c r="J1227" s="1" t="s">
        <v>101</v>
      </c>
      <c r="K1227" s="1" t="s">
        <v>116</v>
      </c>
      <c r="L1227" s="1">
        <v>2756810</v>
      </c>
      <c r="M1227" s="1" t="s">
        <v>1369</v>
      </c>
      <c r="N1227" s="8">
        <f>DATE(2021,3,15)</f>
        <v>44270</v>
      </c>
      <c r="O1227" s="8">
        <f>DATE(2023,12,22)</f>
        <v>45282</v>
      </c>
      <c r="P1227" s="1">
        <v>3536</v>
      </c>
      <c r="Q1227" s="1">
        <v>1000</v>
      </c>
      <c r="R1227" s="1">
        <f t="shared" si="408"/>
        <v>3100</v>
      </c>
      <c r="S1227" s="1">
        <v>1.5</v>
      </c>
      <c r="U1227" s="1">
        <f t="shared" si="409"/>
        <v>1013</v>
      </c>
      <c r="V1227" s="7">
        <f t="shared" si="410"/>
        <v>3.0602171767028628</v>
      </c>
      <c r="W1227" s="7">
        <f t="shared" si="411"/>
        <v>1116.9792694965449</v>
      </c>
      <c r="X1227" s="7">
        <f t="shared" si="412"/>
        <v>1.3962240868706812</v>
      </c>
      <c r="AA1227" s="8">
        <f t="shared" si="413"/>
        <v>44927</v>
      </c>
      <c r="AB1227" s="8">
        <f t="shared" si="414"/>
        <v>45291</v>
      </c>
      <c r="AC1227" s="1">
        <v>29</v>
      </c>
      <c r="AD1227" s="1">
        <f t="shared" si="415"/>
        <v>0</v>
      </c>
      <c r="AE1227" s="1">
        <f t="shared" si="416"/>
        <v>0</v>
      </c>
      <c r="AF1227" s="1">
        <f t="shared" si="417"/>
        <v>356</v>
      </c>
      <c r="AG1227" s="1">
        <f t="shared" si="418"/>
        <v>0</v>
      </c>
      <c r="AH1227" s="1">
        <f t="shared" si="419"/>
        <v>0</v>
      </c>
      <c r="AI1227" s="5">
        <f t="shared" si="420"/>
        <v>0.97534246575342465</v>
      </c>
      <c r="AJ1227" s="5">
        <f t="shared" si="421"/>
        <v>1.361796643632774</v>
      </c>
      <c r="AK1227" s="5">
        <f t="shared" si="422"/>
        <v>39.492102665350444</v>
      </c>
      <c r="AL1227" s="5">
        <f t="shared" si="423"/>
        <v>59.238153998025666</v>
      </c>
      <c r="AM1227" s="5">
        <f t="shared" si="424"/>
        <v>0</v>
      </c>
      <c r="AN1227" s="5">
        <f t="shared" si="425"/>
        <v>59.238153998025666</v>
      </c>
      <c r="AO1227" s="1" t="s">
        <v>102</v>
      </c>
    </row>
    <row r="1228" spans="1:41" x14ac:dyDescent="0.25">
      <c r="A1228" s="1" t="s">
        <v>19</v>
      </c>
      <c r="B1228" s="1" t="s">
        <v>56</v>
      </c>
      <c r="C1228" s="1" t="s">
        <v>21</v>
      </c>
      <c r="D1228" s="1" t="s">
        <v>57</v>
      </c>
      <c r="E1228" s="1" t="s">
        <v>96</v>
      </c>
      <c r="F1228" s="1" t="s">
        <v>103</v>
      </c>
      <c r="G1228" s="1" t="s">
        <v>114</v>
      </c>
      <c r="H1228" s="1" t="s">
        <v>1365</v>
      </c>
      <c r="I1228" s="1" t="s">
        <v>100</v>
      </c>
      <c r="J1228" s="1" t="s">
        <v>101</v>
      </c>
      <c r="K1228" s="1" t="s">
        <v>116</v>
      </c>
      <c r="L1228" s="1">
        <v>2756811</v>
      </c>
      <c r="M1228" s="1" t="s">
        <v>1370</v>
      </c>
      <c r="N1228" s="8">
        <f>DATE(2021,3,15)</f>
        <v>44270</v>
      </c>
      <c r="O1228" s="8">
        <f>DATE(2023,12,22)</f>
        <v>45282</v>
      </c>
      <c r="P1228" s="1">
        <v>3332</v>
      </c>
      <c r="Q1228" s="1">
        <v>800</v>
      </c>
      <c r="R1228" s="1">
        <f t="shared" si="408"/>
        <v>3000</v>
      </c>
      <c r="S1228" s="1">
        <v>1.5</v>
      </c>
      <c r="U1228" s="1">
        <f t="shared" si="409"/>
        <v>1013</v>
      </c>
      <c r="V1228" s="7">
        <f t="shared" si="410"/>
        <v>2.9615004935834155</v>
      </c>
      <c r="W1228" s="7">
        <f t="shared" si="411"/>
        <v>1080.9476801579467</v>
      </c>
      <c r="X1228" s="7">
        <f t="shared" si="412"/>
        <v>1.3511846001974335</v>
      </c>
      <c r="AA1228" s="8">
        <f t="shared" si="413"/>
        <v>44927</v>
      </c>
      <c r="AB1228" s="8">
        <f t="shared" si="414"/>
        <v>45291</v>
      </c>
      <c r="AC1228" s="1">
        <v>59</v>
      </c>
      <c r="AD1228" s="1">
        <f t="shared" si="415"/>
        <v>0</v>
      </c>
      <c r="AE1228" s="1">
        <f t="shared" si="416"/>
        <v>0</v>
      </c>
      <c r="AF1228" s="1">
        <f t="shared" si="417"/>
        <v>356</v>
      </c>
      <c r="AG1228" s="1">
        <f t="shared" si="418"/>
        <v>0</v>
      </c>
      <c r="AH1228" s="1">
        <f t="shared" si="419"/>
        <v>0</v>
      </c>
      <c r="AI1228" s="5">
        <f t="shared" si="420"/>
        <v>0.97534246575342465</v>
      </c>
      <c r="AJ1228" s="5">
        <f t="shared" si="421"/>
        <v>1.31786771964462</v>
      </c>
      <c r="AK1228" s="5">
        <f t="shared" si="422"/>
        <v>77.754195459032587</v>
      </c>
      <c r="AL1228" s="5">
        <f t="shared" si="423"/>
        <v>116.63129318854888</v>
      </c>
      <c r="AM1228" s="5">
        <f t="shared" si="424"/>
        <v>0</v>
      </c>
      <c r="AN1228" s="5">
        <f t="shared" si="425"/>
        <v>116.63129318854888</v>
      </c>
      <c r="AO1228" s="1" t="s">
        <v>102</v>
      </c>
    </row>
    <row r="1229" spans="1:41" x14ac:dyDescent="0.25">
      <c r="A1229" s="1" t="s">
        <v>19</v>
      </c>
      <c r="B1229" s="1" t="s">
        <v>56</v>
      </c>
      <c r="C1229" s="1" t="s">
        <v>21</v>
      </c>
      <c r="D1229" s="1" t="s">
        <v>57</v>
      </c>
      <c r="E1229" s="1" t="s">
        <v>96</v>
      </c>
      <c r="F1229" s="1" t="s">
        <v>103</v>
      </c>
      <c r="G1229" s="1" t="s">
        <v>127</v>
      </c>
      <c r="H1229" s="1" t="s">
        <v>128</v>
      </c>
      <c r="I1229" s="1" t="s">
        <v>100</v>
      </c>
      <c r="J1229" s="1" t="s">
        <v>101</v>
      </c>
      <c r="L1229" s="1">
        <v>2756849</v>
      </c>
      <c r="M1229" s="1" t="s">
        <v>1371</v>
      </c>
      <c r="N1229" s="8">
        <f>DATE(2021,3,15)</f>
        <v>44270</v>
      </c>
      <c r="O1229" s="8">
        <f>DATE(2023,7,21)</f>
        <v>45128</v>
      </c>
      <c r="P1229" s="1">
        <v>1800</v>
      </c>
      <c r="Q1229" s="1">
        <v>1600</v>
      </c>
      <c r="R1229" s="1">
        <f t="shared" si="408"/>
        <v>1600</v>
      </c>
      <c r="S1229" s="1">
        <v>1</v>
      </c>
      <c r="U1229" s="1">
        <f t="shared" si="409"/>
        <v>859</v>
      </c>
      <c r="V1229" s="7">
        <f t="shared" si="410"/>
        <v>1.8626309662398137</v>
      </c>
      <c r="W1229" s="7">
        <f t="shared" si="411"/>
        <v>679.86030267753199</v>
      </c>
      <c r="X1229" s="7">
        <f t="shared" si="412"/>
        <v>0.84982537834691496</v>
      </c>
      <c r="AA1229" s="8">
        <f t="shared" si="413"/>
        <v>44927</v>
      </c>
      <c r="AB1229" s="8">
        <f t="shared" si="414"/>
        <v>45291</v>
      </c>
      <c r="AC1229" s="1">
        <v>22</v>
      </c>
      <c r="AD1229" s="1">
        <f t="shared" si="415"/>
        <v>0</v>
      </c>
      <c r="AE1229" s="1">
        <f t="shared" si="416"/>
        <v>0</v>
      </c>
      <c r="AF1229" s="1">
        <f t="shared" si="417"/>
        <v>202</v>
      </c>
      <c r="AG1229" s="1">
        <f t="shared" si="418"/>
        <v>0</v>
      </c>
      <c r="AH1229" s="1">
        <f t="shared" si="419"/>
        <v>0</v>
      </c>
      <c r="AI1229" s="5">
        <f t="shared" si="420"/>
        <v>0.55342465753424652</v>
      </c>
      <c r="AJ1229" s="5">
        <f t="shared" si="421"/>
        <v>0.47031431897555287</v>
      </c>
      <c r="AK1229" s="5">
        <f t="shared" si="422"/>
        <v>10.346915017462162</v>
      </c>
      <c r="AL1229" s="5">
        <f t="shared" si="423"/>
        <v>10.346915017462162</v>
      </c>
      <c r="AM1229" s="5">
        <f t="shared" si="424"/>
        <v>0</v>
      </c>
      <c r="AN1229" s="5">
        <f t="shared" si="425"/>
        <v>10.346915017462162</v>
      </c>
      <c r="AO1229" s="1" t="s">
        <v>102</v>
      </c>
    </row>
    <row r="1230" spans="1:41" x14ac:dyDescent="0.25">
      <c r="A1230" s="1" t="s">
        <v>19</v>
      </c>
      <c r="B1230" s="1" t="s">
        <v>56</v>
      </c>
      <c r="C1230" s="1" t="s">
        <v>21</v>
      </c>
      <c r="D1230" s="1" t="s">
        <v>57</v>
      </c>
      <c r="E1230" s="1" t="s">
        <v>96</v>
      </c>
      <c r="F1230" s="1" t="s">
        <v>103</v>
      </c>
      <c r="G1230" s="1" t="s">
        <v>127</v>
      </c>
      <c r="H1230" s="1" t="s">
        <v>128</v>
      </c>
      <c r="I1230" s="1" t="s">
        <v>100</v>
      </c>
      <c r="J1230" s="1" t="s">
        <v>101</v>
      </c>
      <c r="L1230" s="1">
        <v>2796727</v>
      </c>
      <c r="M1230" s="1" t="s">
        <v>1372</v>
      </c>
      <c r="N1230" s="8">
        <f>DATE(2021,7,22)</f>
        <v>44399</v>
      </c>
      <c r="O1230" s="8">
        <f>DATE(2023,12,22)</f>
        <v>45282</v>
      </c>
      <c r="P1230" s="1">
        <v>1800</v>
      </c>
      <c r="Q1230" s="1">
        <v>1600</v>
      </c>
      <c r="R1230" s="1">
        <f t="shared" si="408"/>
        <v>1600</v>
      </c>
      <c r="S1230" s="1">
        <v>1</v>
      </c>
      <c r="U1230" s="1">
        <f t="shared" si="409"/>
        <v>884</v>
      </c>
      <c r="V1230" s="7">
        <f t="shared" si="410"/>
        <v>1.8099547511312217</v>
      </c>
      <c r="W1230" s="7">
        <f t="shared" si="411"/>
        <v>660.63348416289591</v>
      </c>
      <c r="X1230" s="7">
        <f t="shared" si="412"/>
        <v>0.82579185520361986</v>
      </c>
      <c r="AA1230" s="8">
        <f t="shared" si="413"/>
        <v>44927</v>
      </c>
      <c r="AB1230" s="8">
        <f t="shared" si="414"/>
        <v>45291</v>
      </c>
      <c r="AC1230" s="1">
        <v>13</v>
      </c>
      <c r="AD1230" s="1">
        <f t="shared" si="415"/>
        <v>0</v>
      </c>
      <c r="AE1230" s="1">
        <f t="shared" si="416"/>
        <v>0</v>
      </c>
      <c r="AF1230" s="1">
        <f t="shared" si="417"/>
        <v>356</v>
      </c>
      <c r="AG1230" s="1">
        <f t="shared" si="418"/>
        <v>0</v>
      </c>
      <c r="AH1230" s="1">
        <f t="shared" si="419"/>
        <v>0</v>
      </c>
      <c r="AI1230" s="5">
        <f t="shared" si="420"/>
        <v>0.97534246575342465</v>
      </c>
      <c r="AJ1230" s="5">
        <f t="shared" si="421"/>
        <v>0.80542986425339358</v>
      </c>
      <c r="AK1230" s="5">
        <f t="shared" si="422"/>
        <v>10.470588235294116</v>
      </c>
      <c r="AL1230" s="5">
        <f t="shared" si="423"/>
        <v>10.470588235294116</v>
      </c>
      <c r="AM1230" s="5">
        <f t="shared" si="424"/>
        <v>0</v>
      </c>
      <c r="AN1230" s="5">
        <f t="shared" si="425"/>
        <v>10.470588235294116</v>
      </c>
      <c r="AO1230" s="1" t="s">
        <v>102</v>
      </c>
    </row>
    <row r="1231" spans="1:41" x14ac:dyDescent="0.25">
      <c r="A1231" s="1" t="s">
        <v>19</v>
      </c>
      <c r="B1231" s="1" t="s">
        <v>56</v>
      </c>
      <c r="C1231" s="1" t="s">
        <v>21</v>
      </c>
      <c r="D1231" s="1" t="s">
        <v>57</v>
      </c>
      <c r="E1231" s="1" t="s">
        <v>96</v>
      </c>
      <c r="F1231" s="1" t="s">
        <v>103</v>
      </c>
      <c r="G1231" s="1" t="s">
        <v>114</v>
      </c>
      <c r="H1231" s="1" t="s">
        <v>249</v>
      </c>
      <c r="I1231" s="1" t="s">
        <v>162</v>
      </c>
      <c r="J1231" s="1" t="s">
        <v>101</v>
      </c>
      <c r="K1231" s="1" t="s">
        <v>116</v>
      </c>
      <c r="L1231" s="1">
        <v>2837309</v>
      </c>
      <c r="M1231" s="1" t="s">
        <v>1373</v>
      </c>
      <c r="N1231" s="8">
        <f>DATE(2022,2,7)</f>
        <v>44599</v>
      </c>
      <c r="O1231" s="8">
        <f>DATE(2024,12,20)</f>
        <v>45646</v>
      </c>
      <c r="P1231" s="1">
        <v>3536</v>
      </c>
      <c r="Q1231" s="1">
        <v>1000</v>
      </c>
      <c r="R1231" s="1">
        <f t="shared" si="408"/>
        <v>3100</v>
      </c>
      <c r="S1231" s="1">
        <v>1.5</v>
      </c>
      <c r="U1231" s="1">
        <f t="shared" si="409"/>
        <v>1048</v>
      </c>
      <c r="V1231" s="7">
        <f t="shared" si="410"/>
        <v>2.9580152671755724</v>
      </c>
      <c r="W1231" s="7">
        <f t="shared" si="411"/>
        <v>1079.675572519084</v>
      </c>
      <c r="X1231" s="7">
        <f t="shared" si="412"/>
        <v>1.349594465648855</v>
      </c>
      <c r="AA1231" s="8">
        <f t="shared" si="413"/>
        <v>44927</v>
      </c>
      <c r="AB1231" s="8">
        <f t="shared" si="414"/>
        <v>45291</v>
      </c>
      <c r="AC1231" s="1">
        <v>63</v>
      </c>
      <c r="AD1231" s="1">
        <f t="shared" si="415"/>
        <v>365</v>
      </c>
      <c r="AE1231" s="1">
        <f t="shared" si="416"/>
        <v>0</v>
      </c>
      <c r="AF1231" s="1">
        <f t="shared" si="417"/>
        <v>0</v>
      </c>
      <c r="AG1231" s="1">
        <f t="shared" si="418"/>
        <v>0</v>
      </c>
      <c r="AH1231" s="1">
        <f t="shared" si="419"/>
        <v>0</v>
      </c>
      <c r="AI1231" s="5">
        <f t="shared" si="420"/>
        <v>1</v>
      </c>
      <c r="AJ1231" s="5">
        <f t="shared" si="421"/>
        <v>1.349594465648855</v>
      </c>
      <c r="AK1231" s="5">
        <f t="shared" si="422"/>
        <v>85.02445133587787</v>
      </c>
      <c r="AL1231" s="5">
        <f t="shared" si="423"/>
        <v>127.53667700381681</v>
      </c>
      <c r="AM1231" s="5">
        <f t="shared" si="424"/>
        <v>0</v>
      </c>
      <c r="AN1231" s="5">
        <f t="shared" si="425"/>
        <v>127.53667700381681</v>
      </c>
      <c r="AO1231" s="1" t="s">
        <v>102</v>
      </c>
    </row>
    <row r="1232" spans="1:41" x14ac:dyDescent="0.25">
      <c r="A1232" s="1" t="s">
        <v>19</v>
      </c>
      <c r="B1232" s="1" t="s">
        <v>56</v>
      </c>
      <c r="C1232" s="1" t="s">
        <v>21</v>
      </c>
      <c r="D1232" s="1" t="s">
        <v>57</v>
      </c>
      <c r="E1232" s="1" t="s">
        <v>96</v>
      </c>
      <c r="F1232" s="1" t="s">
        <v>103</v>
      </c>
      <c r="G1232" s="1" t="s">
        <v>114</v>
      </c>
      <c r="H1232" s="1" t="s">
        <v>1365</v>
      </c>
      <c r="I1232" s="1" t="s">
        <v>100</v>
      </c>
      <c r="J1232" s="1" t="s">
        <v>101</v>
      </c>
      <c r="K1232" s="1" t="s">
        <v>116</v>
      </c>
      <c r="L1232" s="1">
        <v>2837310</v>
      </c>
      <c r="M1232" s="1" t="s">
        <v>1374</v>
      </c>
      <c r="N1232" s="8">
        <f>DATE(2022,2,7)</f>
        <v>44599</v>
      </c>
      <c r="O1232" s="8">
        <f>DATE(2024,12,20)</f>
        <v>45646</v>
      </c>
      <c r="P1232" s="1">
        <v>3332</v>
      </c>
      <c r="Q1232" s="1">
        <v>800</v>
      </c>
      <c r="R1232" s="1">
        <f t="shared" si="408"/>
        <v>3000</v>
      </c>
      <c r="S1232" s="1">
        <v>1.5</v>
      </c>
      <c r="U1232" s="1">
        <f t="shared" si="409"/>
        <v>1048</v>
      </c>
      <c r="V1232" s="7">
        <f t="shared" si="410"/>
        <v>2.8625954198473282</v>
      </c>
      <c r="W1232" s="7">
        <f t="shared" si="411"/>
        <v>1044.8473282442749</v>
      </c>
      <c r="X1232" s="7">
        <f t="shared" si="412"/>
        <v>1.3060591603053435</v>
      </c>
      <c r="AA1232" s="8">
        <f t="shared" si="413"/>
        <v>44927</v>
      </c>
      <c r="AB1232" s="8">
        <f t="shared" si="414"/>
        <v>45291</v>
      </c>
      <c r="AC1232" s="1">
        <v>58</v>
      </c>
      <c r="AD1232" s="1">
        <f t="shared" si="415"/>
        <v>365</v>
      </c>
      <c r="AE1232" s="1">
        <f t="shared" si="416"/>
        <v>0</v>
      </c>
      <c r="AF1232" s="1">
        <f t="shared" si="417"/>
        <v>0</v>
      </c>
      <c r="AG1232" s="1">
        <f t="shared" si="418"/>
        <v>0</v>
      </c>
      <c r="AH1232" s="1">
        <f t="shared" si="419"/>
        <v>0</v>
      </c>
      <c r="AI1232" s="5">
        <f t="shared" si="420"/>
        <v>1</v>
      </c>
      <c r="AJ1232" s="5">
        <f t="shared" si="421"/>
        <v>1.3060591603053435</v>
      </c>
      <c r="AK1232" s="5">
        <f t="shared" si="422"/>
        <v>75.751431297709928</v>
      </c>
      <c r="AL1232" s="5">
        <f t="shared" si="423"/>
        <v>113.62714694656489</v>
      </c>
      <c r="AM1232" s="5">
        <f t="shared" si="424"/>
        <v>0</v>
      </c>
      <c r="AN1232" s="5">
        <f t="shared" si="425"/>
        <v>113.62714694656489</v>
      </c>
      <c r="AO1232" s="1" t="s">
        <v>102</v>
      </c>
    </row>
    <row r="1233" spans="1:41" x14ac:dyDescent="0.25">
      <c r="A1233" s="1" t="s">
        <v>19</v>
      </c>
      <c r="B1233" s="1" t="s">
        <v>56</v>
      </c>
      <c r="C1233" s="1" t="s">
        <v>21</v>
      </c>
      <c r="D1233" s="1" t="s">
        <v>57</v>
      </c>
      <c r="E1233" s="1" t="s">
        <v>96</v>
      </c>
      <c r="F1233" s="1" t="s">
        <v>103</v>
      </c>
      <c r="G1233" s="1" t="s">
        <v>127</v>
      </c>
      <c r="H1233" s="1" t="s">
        <v>128</v>
      </c>
      <c r="I1233" s="1" t="s">
        <v>100</v>
      </c>
      <c r="J1233" s="1" t="s">
        <v>101</v>
      </c>
      <c r="L1233" s="1">
        <v>2837312</v>
      </c>
      <c r="M1233" s="1" t="s">
        <v>1375</v>
      </c>
      <c r="N1233" s="8">
        <f>DATE(2022,2,7)</f>
        <v>44599</v>
      </c>
      <c r="O1233" s="8">
        <f>DATE(2024,7,12)</f>
        <v>45485</v>
      </c>
      <c r="P1233" s="1">
        <v>1800</v>
      </c>
      <c r="Q1233" s="1">
        <v>1600</v>
      </c>
      <c r="R1233" s="1">
        <f t="shared" si="408"/>
        <v>1600</v>
      </c>
      <c r="S1233" s="1">
        <v>1</v>
      </c>
      <c r="U1233" s="1">
        <f t="shared" si="409"/>
        <v>887</v>
      </c>
      <c r="V1233" s="7">
        <f t="shared" si="410"/>
        <v>1.8038331454340473</v>
      </c>
      <c r="W1233" s="7">
        <f t="shared" si="411"/>
        <v>658.39909808342725</v>
      </c>
      <c r="X1233" s="7">
        <f t="shared" si="412"/>
        <v>0.82299887260428406</v>
      </c>
      <c r="AA1233" s="8">
        <f t="shared" si="413"/>
        <v>44927</v>
      </c>
      <c r="AB1233" s="8">
        <f t="shared" si="414"/>
        <v>45291</v>
      </c>
      <c r="AC1233" s="1">
        <v>29</v>
      </c>
      <c r="AD1233" s="1">
        <f t="shared" si="415"/>
        <v>365</v>
      </c>
      <c r="AE1233" s="1">
        <f t="shared" si="416"/>
        <v>0</v>
      </c>
      <c r="AF1233" s="1">
        <f t="shared" si="417"/>
        <v>0</v>
      </c>
      <c r="AG1233" s="1">
        <f t="shared" si="418"/>
        <v>0</v>
      </c>
      <c r="AH1233" s="1">
        <f t="shared" si="419"/>
        <v>0</v>
      </c>
      <c r="AI1233" s="5">
        <f t="shared" si="420"/>
        <v>1</v>
      </c>
      <c r="AJ1233" s="5">
        <f t="shared" si="421"/>
        <v>0.82299887260428406</v>
      </c>
      <c r="AK1233" s="5">
        <f t="shared" si="422"/>
        <v>23.866967305524238</v>
      </c>
      <c r="AL1233" s="5">
        <f t="shared" si="423"/>
        <v>23.866967305524238</v>
      </c>
      <c r="AM1233" s="5">
        <f t="shared" si="424"/>
        <v>0</v>
      </c>
      <c r="AN1233" s="5">
        <f t="shared" si="425"/>
        <v>23.866967305524238</v>
      </c>
      <c r="AO1233" s="1" t="s">
        <v>102</v>
      </c>
    </row>
    <row r="1234" spans="1:41" x14ac:dyDescent="0.25">
      <c r="A1234" s="1" t="s">
        <v>19</v>
      </c>
      <c r="B1234" s="1" t="s">
        <v>56</v>
      </c>
      <c r="C1234" s="1" t="s">
        <v>21</v>
      </c>
      <c r="D1234" s="1" t="s">
        <v>57</v>
      </c>
      <c r="E1234" s="1" t="s">
        <v>172</v>
      </c>
      <c r="F1234" s="1" t="s">
        <v>103</v>
      </c>
      <c r="G1234" s="1" t="s">
        <v>155</v>
      </c>
      <c r="H1234" s="1" t="s">
        <v>1376</v>
      </c>
      <c r="I1234" s="1" t="s">
        <v>210</v>
      </c>
      <c r="J1234" s="1" t="s">
        <v>101</v>
      </c>
      <c r="K1234" s="1" t="s">
        <v>163</v>
      </c>
      <c r="L1234" s="1">
        <v>2878529</v>
      </c>
      <c r="M1234" s="1" t="s">
        <v>1377</v>
      </c>
      <c r="N1234" s="8">
        <f>DATE(2022,5,25)</f>
        <v>44706</v>
      </c>
      <c r="O1234" s="8">
        <f>DATE(2022,11,30)</f>
        <v>44895</v>
      </c>
      <c r="P1234" s="1">
        <v>200</v>
      </c>
      <c r="Q1234" s="1">
        <v>200</v>
      </c>
      <c r="R1234" s="1">
        <f t="shared" si="408"/>
        <v>200</v>
      </c>
      <c r="S1234" s="1">
        <v>1</v>
      </c>
      <c r="U1234" s="1">
        <f t="shared" si="409"/>
        <v>190</v>
      </c>
      <c r="V1234" s="7">
        <f t="shared" si="410"/>
        <v>1.0526315789473684</v>
      </c>
      <c r="W1234" s="7">
        <f t="shared" si="411"/>
        <v>200</v>
      </c>
      <c r="X1234" s="7">
        <f t="shared" si="412"/>
        <v>0.25</v>
      </c>
      <c r="AA1234" s="8">
        <f t="shared" si="413"/>
        <v>44927</v>
      </c>
      <c r="AB1234" s="8">
        <f t="shared" si="414"/>
        <v>45291</v>
      </c>
      <c r="AC1234" s="1">
        <v>0</v>
      </c>
      <c r="AD1234" s="1">
        <f t="shared" si="415"/>
        <v>0</v>
      </c>
      <c r="AE1234" s="1">
        <f t="shared" si="416"/>
        <v>0</v>
      </c>
      <c r="AF1234" s="1">
        <f t="shared" si="417"/>
        <v>0</v>
      </c>
      <c r="AG1234" s="1">
        <f t="shared" si="418"/>
        <v>0</v>
      </c>
      <c r="AH1234" s="1">
        <f t="shared" si="419"/>
        <v>182.5</v>
      </c>
      <c r="AI1234" s="5">
        <f t="shared" si="420"/>
        <v>0.96052631578947367</v>
      </c>
      <c r="AJ1234" s="5">
        <f t="shared" si="421"/>
        <v>0.24013157894736842</v>
      </c>
      <c r="AK1234" s="5">
        <f t="shared" si="422"/>
        <v>0</v>
      </c>
      <c r="AL1234" s="5">
        <f t="shared" si="423"/>
        <v>0</v>
      </c>
      <c r="AM1234" s="5">
        <f t="shared" si="424"/>
        <v>0</v>
      </c>
      <c r="AN1234" s="5">
        <f t="shared" si="425"/>
        <v>0</v>
      </c>
      <c r="AO1234" s="1" t="s">
        <v>122</v>
      </c>
    </row>
    <row r="1235" spans="1:41" x14ac:dyDescent="0.25">
      <c r="A1235" s="1" t="s">
        <v>19</v>
      </c>
      <c r="B1235" s="1" t="s">
        <v>56</v>
      </c>
      <c r="C1235" s="1" t="s">
        <v>21</v>
      </c>
      <c r="D1235" s="1" t="s">
        <v>57</v>
      </c>
      <c r="E1235" s="1" t="s">
        <v>96</v>
      </c>
      <c r="F1235" s="1" t="s">
        <v>103</v>
      </c>
      <c r="G1235" s="1" t="s">
        <v>127</v>
      </c>
      <c r="H1235" s="1" t="s">
        <v>128</v>
      </c>
      <c r="I1235" s="1" t="s">
        <v>100</v>
      </c>
      <c r="J1235" s="1" t="s">
        <v>101</v>
      </c>
      <c r="L1235" s="1">
        <v>2894887</v>
      </c>
      <c r="M1235" s="1" t="s">
        <v>1378</v>
      </c>
      <c r="N1235" s="8">
        <f>DATE(2022,7,25)</f>
        <v>44767</v>
      </c>
      <c r="O1235" s="8">
        <f>DATE(2024,12,20)</f>
        <v>45646</v>
      </c>
      <c r="P1235" s="1">
        <v>1800</v>
      </c>
      <c r="Q1235" s="1">
        <v>1600</v>
      </c>
      <c r="R1235" s="1">
        <f t="shared" si="408"/>
        <v>1600</v>
      </c>
      <c r="S1235" s="1">
        <v>1</v>
      </c>
      <c r="U1235" s="1">
        <f t="shared" si="409"/>
        <v>880</v>
      </c>
      <c r="V1235" s="7">
        <f t="shared" si="410"/>
        <v>1.8181818181818181</v>
      </c>
      <c r="W1235" s="7">
        <f t="shared" si="411"/>
        <v>663.63636363636363</v>
      </c>
      <c r="X1235" s="7">
        <f t="shared" si="412"/>
        <v>0.82954545454545459</v>
      </c>
      <c r="AA1235" s="8">
        <f t="shared" si="413"/>
        <v>44927</v>
      </c>
      <c r="AB1235" s="8">
        <f t="shared" si="414"/>
        <v>45291</v>
      </c>
      <c r="AC1235" s="1">
        <v>2</v>
      </c>
      <c r="AD1235" s="1">
        <f t="shared" si="415"/>
        <v>365</v>
      </c>
      <c r="AE1235" s="1">
        <f t="shared" si="416"/>
        <v>0</v>
      </c>
      <c r="AF1235" s="1">
        <f t="shared" si="417"/>
        <v>0</v>
      </c>
      <c r="AG1235" s="1">
        <f t="shared" si="418"/>
        <v>0</v>
      </c>
      <c r="AH1235" s="1">
        <f t="shared" si="419"/>
        <v>0</v>
      </c>
      <c r="AI1235" s="5">
        <f t="shared" si="420"/>
        <v>1</v>
      </c>
      <c r="AJ1235" s="5">
        <f t="shared" si="421"/>
        <v>0.82954545454545459</v>
      </c>
      <c r="AK1235" s="5">
        <f t="shared" si="422"/>
        <v>1.6590909090909092</v>
      </c>
      <c r="AL1235" s="5">
        <f t="shared" si="423"/>
        <v>1.6590909090909092</v>
      </c>
      <c r="AM1235" s="5">
        <f t="shared" si="424"/>
        <v>0</v>
      </c>
      <c r="AN1235" s="5">
        <f t="shared" si="425"/>
        <v>1.6590909090909092</v>
      </c>
      <c r="AO1235" s="1" t="s">
        <v>102</v>
      </c>
    </row>
    <row r="1236" spans="1:41" x14ac:dyDescent="0.25">
      <c r="A1236" s="1" t="s">
        <v>19</v>
      </c>
      <c r="B1236" s="1" t="s">
        <v>56</v>
      </c>
      <c r="C1236" s="1" t="s">
        <v>21</v>
      </c>
      <c r="D1236" s="1" t="s">
        <v>57</v>
      </c>
      <c r="E1236" s="1" t="s">
        <v>96</v>
      </c>
      <c r="F1236" s="1" t="s">
        <v>103</v>
      </c>
      <c r="G1236" s="1" t="s">
        <v>155</v>
      </c>
      <c r="H1236" s="1" t="s">
        <v>1379</v>
      </c>
      <c r="I1236" s="1" t="s">
        <v>100</v>
      </c>
      <c r="J1236" s="1" t="s">
        <v>101</v>
      </c>
      <c r="K1236" s="1" t="s">
        <v>163</v>
      </c>
      <c r="L1236" s="1">
        <v>2894846</v>
      </c>
      <c r="M1236" s="1" t="s">
        <v>1380</v>
      </c>
      <c r="N1236" s="8">
        <f>DATE(2022,7,27)</f>
        <v>44769</v>
      </c>
      <c r="O1236" s="8">
        <f>DATE(2022,9,29)</f>
        <v>44833</v>
      </c>
      <c r="P1236" s="1">
        <v>200</v>
      </c>
      <c r="Q1236" s="1">
        <v>160</v>
      </c>
      <c r="R1236" s="1">
        <f t="shared" si="408"/>
        <v>200</v>
      </c>
      <c r="S1236" s="1">
        <v>1</v>
      </c>
      <c r="U1236" s="1">
        <f t="shared" si="409"/>
        <v>65</v>
      </c>
      <c r="V1236" s="7">
        <f t="shared" si="410"/>
        <v>3.0769230769230771</v>
      </c>
      <c r="W1236" s="7">
        <f t="shared" si="411"/>
        <v>200</v>
      </c>
      <c r="X1236" s="7">
        <f t="shared" si="412"/>
        <v>0.25</v>
      </c>
      <c r="AA1236" s="8">
        <f t="shared" si="413"/>
        <v>44927</v>
      </c>
      <c r="AB1236" s="8">
        <f t="shared" si="414"/>
        <v>45291</v>
      </c>
      <c r="AC1236" s="1">
        <v>0</v>
      </c>
      <c r="AD1236" s="1">
        <f t="shared" si="415"/>
        <v>0</v>
      </c>
      <c r="AE1236" s="1">
        <f t="shared" si="416"/>
        <v>0</v>
      </c>
      <c r="AF1236" s="1">
        <f t="shared" si="417"/>
        <v>0</v>
      </c>
      <c r="AG1236" s="1">
        <f t="shared" si="418"/>
        <v>0</v>
      </c>
      <c r="AH1236" s="1">
        <f t="shared" si="419"/>
        <v>182.5</v>
      </c>
      <c r="AI1236" s="5">
        <f t="shared" si="420"/>
        <v>2.8076923076923075</v>
      </c>
      <c r="AJ1236" s="5">
        <f t="shared" si="421"/>
        <v>0.70192307692307687</v>
      </c>
      <c r="AK1236" s="5">
        <f t="shared" si="422"/>
        <v>0</v>
      </c>
      <c r="AL1236" s="5">
        <f t="shared" si="423"/>
        <v>0</v>
      </c>
      <c r="AM1236" s="5">
        <f t="shared" si="424"/>
        <v>0</v>
      </c>
      <c r="AN1236" s="5">
        <f t="shared" si="425"/>
        <v>0</v>
      </c>
      <c r="AO1236" s="1" t="s">
        <v>102</v>
      </c>
    </row>
    <row r="1237" spans="1:41" x14ac:dyDescent="0.25">
      <c r="A1237" s="1" t="s">
        <v>19</v>
      </c>
      <c r="B1237" s="1" t="s">
        <v>56</v>
      </c>
      <c r="C1237" s="1" t="s">
        <v>21</v>
      </c>
      <c r="D1237" s="1" t="s">
        <v>57</v>
      </c>
      <c r="E1237" s="1" t="s">
        <v>96</v>
      </c>
      <c r="F1237" s="1" t="s">
        <v>103</v>
      </c>
      <c r="G1237" s="1" t="s">
        <v>114</v>
      </c>
      <c r="H1237" s="1" t="s">
        <v>249</v>
      </c>
      <c r="I1237" s="1" t="s">
        <v>162</v>
      </c>
      <c r="J1237" s="1" t="s">
        <v>101</v>
      </c>
      <c r="K1237" s="1" t="s">
        <v>116</v>
      </c>
      <c r="L1237" s="1">
        <v>2951020</v>
      </c>
      <c r="M1237" s="1" t="s">
        <v>1381</v>
      </c>
      <c r="N1237" s="8">
        <f>DATE(2023,2,6)</f>
        <v>44963</v>
      </c>
      <c r="O1237" s="8">
        <f>DATE(2025,12,23)</f>
        <v>46014</v>
      </c>
      <c r="P1237" s="1">
        <v>3536</v>
      </c>
      <c r="Q1237" s="1">
        <v>1000</v>
      </c>
      <c r="R1237" s="1">
        <f t="shared" si="408"/>
        <v>3100</v>
      </c>
      <c r="S1237" s="1">
        <v>1.5</v>
      </c>
      <c r="U1237" s="1">
        <f t="shared" si="409"/>
        <v>1052</v>
      </c>
      <c r="V1237" s="7">
        <f t="shared" si="410"/>
        <v>2.9467680608365021</v>
      </c>
      <c r="W1237" s="7">
        <f t="shared" si="411"/>
        <v>1075.5703422053232</v>
      </c>
      <c r="X1237" s="7">
        <f t="shared" si="412"/>
        <v>1.344462927756654</v>
      </c>
      <c r="AA1237" s="8">
        <f t="shared" si="413"/>
        <v>44927</v>
      </c>
      <c r="AB1237" s="8">
        <f t="shared" si="414"/>
        <v>45291</v>
      </c>
      <c r="AC1237" s="1">
        <v>36</v>
      </c>
      <c r="AD1237" s="1">
        <f t="shared" si="415"/>
        <v>0</v>
      </c>
      <c r="AE1237" s="1">
        <f t="shared" si="416"/>
        <v>329</v>
      </c>
      <c r="AF1237" s="1">
        <f t="shared" si="417"/>
        <v>0</v>
      </c>
      <c r="AG1237" s="1">
        <f t="shared" si="418"/>
        <v>0</v>
      </c>
      <c r="AH1237" s="1">
        <f t="shared" si="419"/>
        <v>0</v>
      </c>
      <c r="AI1237" s="5">
        <f t="shared" si="420"/>
        <v>0.90136986301369859</v>
      </c>
      <c r="AJ1237" s="5">
        <f t="shared" si="421"/>
        <v>1.2118583650190113</v>
      </c>
      <c r="AK1237" s="5">
        <f t="shared" si="422"/>
        <v>43.62690114068441</v>
      </c>
      <c r="AL1237" s="5">
        <f t="shared" si="423"/>
        <v>65.440351711026608</v>
      </c>
      <c r="AM1237" s="5">
        <f t="shared" si="424"/>
        <v>0</v>
      </c>
      <c r="AN1237" s="5">
        <f t="shared" si="425"/>
        <v>65.440351711026608</v>
      </c>
      <c r="AO1237" s="1" t="s">
        <v>102</v>
      </c>
    </row>
    <row r="1238" spans="1:41" x14ac:dyDescent="0.25">
      <c r="A1238" s="1" t="s">
        <v>19</v>
      </c>
      <c r="B1238" s="1" t="s">
        <v>56</v>
      </c>
      <c r="C1238" s="1" t="s">
        <v>21</v>
      </c>
      <c r="D1238" s="1" t="s">
        <v>57</v>
      </c>
      <c r="E1238" s="1" t="s">
        <v>96</v>
      </c>
      <c r="F1238" s="1" t="s">
        <v>103</v>
      </c>
      <c r="G1238" s="1" t="s">
        <v>114</v>
      </c>
      <c r="H1238" s="1" t="s">
        <v>1365</v>
      </c>
      <c r="I1238" s="1" t="s">
        <v>100</v>
      </c>
      <c r="J1238" s="1" t="s">
        <v>101</v>
      </c>
      <c r="K1238" s="1" t="s">
        <v>116</v>
      </c>
      <c r="L1238" s="1">
        <v>2951022</v>
      </c>
      <c r="M1238" s="1" t="s">
        <v>1382</v>
      </c>
      <c r="N1238" s="8">
        <f>DATE(2023,2,6)</f>
        <v>44963</v>
      </c>
      <c r="O1238" s="8">
        <f>DATE(2025,12,23)</f>
        <v>46014</v>
      </c>
      <c r="P1238" s="1">
        <v>3332</v>
      </c>
      <c r="Q1238" s="1">
        <v>800</v>
      </c>
      <c r="R1238" s="1">
        <f t="shared" si="408"/>
        <v>3000</v>
      </c>
      <c r="S1238" s="1">
        <v>1.5</v>
      </c>
      <c r="U1238" s="1">
        <f t="shared" si="409"/>
        <v>1052</v>
      </c>
      <c r="V1238" s="7">
        <f t="shared" si="410"/>
        <v>2.8517110266159698</v>
      </c>
      <c r="W1238" s="7">
        <f t="shared" si="411"/>
        <v>1040.874524714829</v>
      </c>
      <c r="X1238" s="7">
        <f t="shared" si="412"/>
        <v>1.3010931558935364</v>
      </c>
      <c r="AA1238" s="8">
        <f t="shared" si="413"/>
        <v>44927</v>
      </c>
      <c r="AB1238" s="8">
        <f t="shared" si="414"/>
        <v>45291</v>
      </c>
      <c r="AC1238" s="1">
        <v>35</v>
      </c>
      <c r="AD1238" s="1">
        <f t="shared" si="415"/>
        <v>0</v>
      </c>
      <c r="AE1238" s="1">
        <f t="shared" si="416"/>
        <v>329</v>
      </c>
      <c r="AF1238" s="1">
        <f t="shared" si="417"/>
        <v>0</v>
      </c>
      <c r="AG1238" s="1">
        <f t="shared" si="418"/>
        <v>0</v>
      </c>
      <c r="AH1238" s="1">
        <f t="shared" si="419"/>
        <v>0</v>
      </c>
      <c r="AI1238" s="5">
        <f t="shared" si="420"/>
        <v>0.90136986301369859</v>
      </c>
      <c r="AJ1238" s="5">
        <f t="shared" si="421"/>
        <v>1.1727661596958177</v>
      </c>
      <c r="AK1238" s="5">
        <f t="shared" si="422"/>
        <v>41.046815589353621</v>
      </c>
      <c r="AL1238" s="5">
        <f t="shared" si="423"/>
        <v>61.570223384030427</v>
      </c>
      <c r="AM1238" s="5">
        <f t="shared" si="424"/>
        <v>0</v>
      </c>
      <c r="AN1238" s="5">
        <f t="shared" si="425"/>
        <v>61.570223384030427</v>
      </c>
      <c r="AO1238" s="1" t="s">
        <v>102</v>
      </c>
    </row>
    <row r="1239" spans="1:41" x14ac:dyDescent="0.25">
      <c r="A1239" s="1" t="s">
        <v>19</v>
      </c>
      <c r="B1239" s="1" t="s">
        <v>56</v>
      </c>
      <c r="C1239" s="1" t="s">
        <v>21</v>
      </c>
      <c r="D1239" s="1" t="s">
        <v>57</v>
      </c>
      <c r="E1239" s="1" t="s">
        <v>96</v>
      </c>
      <c r="F1239" s="1" t="s">
        <v>103</v>
      </c>
      <c r="G1239" s="1" t="s">
        <v>127</v>
      </c>
      <c r="H1239" s="1" t="s">
        <v>128</v>
      </c>
      <c r="I1239" s="1" t="s">
        <v>100</v>
      </c>
      <c r="J1239" s="1" t="s">
        <v>101</v>
      </c>
      <c r="L1239" s="1">
        <v>2951037</v>
      </c>
      <c r="M1239" s="1" t="s">
        <v>1383</v>
      </c>
      <c r="N1239" s="8">
        <f>DATE(2023,2,6)</f>
        <v>44963</v>
      </c>
      <c r="O1239" s="8">
        <f>DATE(2025,7,11)</f>
        <v>45849</v>
      </c>
      <c r="P1239" s="1">
        <v>1800</v>
      </c>
      <c r="Q1239" s="1">
        <v>1600</v>
      </c>
      <c r="R1239" s="1">
        <f t="shared" si="408"/>
        <v>1600</v>
      </c>
      <c r="S1239" s="1">
        <v>1</v>
      </c>
      <c r="U1239" s="1">
        <f t="shared" si="409"/>
        <v>887</v>
      </c>
      <c r="V1239" s="7">
        <f t="shared" si="410"/>
        <v>1.8038331454340473</v>
      </c>
      <c r="W1239" s="7">
        <f t="shared" si="411"/>
        <v>658.39909808342725</v>
      </c>
      <c r="X1239" s="7">
        <f t="shared" si="412"/>
        <v>0.82299887260428406</v>
      </c>
      <c r="AA1239" s="8">
        <f t="shared" si="413"/>
        <v>44927</v>
      </c>
      <c r="AB1239" s="8">
        <f t="shared" si="414"/>
        <v>45291</v>
      </c>
      <c r="AC1239" s="1">
        <v>40</v>
      </c>
      <c r="AD1239" s="1">
        <f t="shared" si="415"/>
        <v>0</v>
      </c>
      <c r="AE1239" s="1">
        <f t="shared" si="416"/>
        <v>329</v>
      </c>
      <c r="AF1239" s="1">
        <f t="shared" si="417"/>
        <v>0</v>
      </c>
      <c r="AG1239" s="1">
        <f t="shared" si="418"/>
        <v>0</v>
      </c>
      <c r="AH1239" s="1">
        <f t="shared" si="419"/>
        <v>0</v>
      </c>
      <c r="AI1239" s="5">
        <f t="shared" si="420"/>
        <v>0.90136986301369859</v>
      </c>
      <c r="AJ1239" s="5">
        <f t="shared" si="421"/>
        <v>0.74182638105975185</v>
      </c>
      <c r="AK1239" s="5">
        <f t="shared" si="422"/>
        <v>29.673055242390074</v>
      </c>
      <c r="AL1239" s="5">
        <f t="shared" si="423"/>
        <v>29.673055242390074</v>
      </c>
      <c r="AM1239" s="5">
        <f t="shared" si="424"/>
        <v>0</v>
      </c>
      <c r="AN1239" s="5">
        <f t="shared" si="425"/>
        <v>29.673055242390074</v>
      </c>
      <c r="AO1239" s="1" t="s">
        <v>102</v>
      </c>
    </row>
    <row r="1240" spans="1:41" x14ac:dyDescent="0.25">
      <c r="A1240" s="1" t="s">
        <v>19</v>
      </c>
      <c r="B1240" s="1" t="s">
        <v>56</v>
      </c>
      <c r="C1240" s="1" t="s">
        <v>21</v>
      </c>
      <c r="D1240" s="1" t="s">
        <v>57</v>
      </c>
      <c r="E1240" s="1" t="s">
        <v>172</v>
      </c>
      <c r="F1240" s="1" t="s">
        <v>103</v>
      </c>
      <c r="G1240" s="1" t="s">
        <v>114</v>
      </c>
      <c r="H1240" s="1" t="s">
        <v>173</v>
      </c>
      <c r="I1240" s="1" t="s">
        <v>174</v>
      </c>
      <c r="J1240" s="1" t="s">
        <v>101</v>
      </c>
      <c r="K1240" s="1" t="s">
        <v>175</v>
      </c>
      <c r="L1240" s="1">
        <v>2958221</v>
      </c>
      <c r="M1240" s="1" t="s">
        <v>176</v>
      </c>
      <c r="N1240" s="8">
        <f>DATE(2023,4,3)</f>
        <v>45019</v>
      </c>
      <c r="O1240" s="8">
        <f>DATE(2024,8,31)</f>
        <v>45535</v>
      </c>
      <c r="P1240" s="1">
        <v>1200</v>
      </c>
      <c r="Q1240" s="1">
        <v>1200</v>
      </c>
      <c r="R1240" s="1">
        <f t="shared" si="408"/>
        <v>1200</v>
      </c>
      <c r="S1240" s="1">
        <v>2</v>
      </c>
      <c r="U1240" s="1">
        <f t="shared" si="409"/>
        <v>517</v>
      </c>
      <c r="V1240" s="7">
        <f t="shared" si="410"/>
        <v>2.3210831721470018</v>
      </c>
      <c r="W1240" s="7">
        <f t="shared" si="411"/>
        <v>847.19535783365563</v>
      </c>
      <c r="X1240" s="7">
        <f t="shared" si="412"/>
        <v>1.0589941972920696</v>
      </c>
      <c r="AA1240" s="8">
        <f t="shared" si="413"/>
        <v>44927</v>
      </c>
      <c r="AB1240" s="8">
        <f t="shared" si="414"/>
        <v>45291</v>
      </c>
      <c r="AC1240" s="1">
        <v>19</v>
      </c>
      <c r="AD1240" s="1">
        <f t="shared" si="415"/>
        <v>0</v>
      </c>
      <c r="AE1240" s="1">
        <f t="shared" si="416"/>
        <v>273</v>
      </c>
      <c r="AF1240" s="1">
        <f t="shared" si="417"/>
        <v>0</v>
      </c>
      <c r="AG1240" s="1">
        <f t="shared" si="418"/>
        <v>0</v>
      </c>
      <c r="AH1240" s="1">
        <f t="shared" si="419"/>
        <v>0</v>
      </c>
      <c r="AI1240" s="5">
        <f t="shared" si="420"/>
        <v>0.74794520547945209</v>
      </c>
      <c r="AJ1240" s="5">
        <f t="shared" si="421"/>
        <v>0.79206963249516438</v>
      </c>
      <c r="AK1240" s="5">
        <f t="shared" si="422"/>
        <v>15.049323017408124</v>
      </c>
      <c r="AL1240" s="5">
        <f t="shared" si="423"/>
        <v>30.098646034816248</v>
      </c>
      <c r="AM1240" s="5">
        <f t="shared" si="424"/>
        <v>0</v>
      </c>
      <c r="AN1240" s="5">
        <f t="shared" si="425"/>
        <v>30.098646034816248</v>
      </c>
      <c r="AO1240" s="1" t="s">
        <v>122</v>
      </c>
    </row>
    <row r="1241" spans="1:41" x14ac:dyDescent="0.25">
      <c r="A1241" s="1" t="s">
        <v>19</v>
      </c>
      <c r="B1241" s="1" t="s">
        <v>56</v>
      </c>
      <c r="C1241" s="1" t="s">
        <v>21</v>
      </c>
      <c r="D1241" s="1" t="s">
        <v>57</v>
      </c>
      <c r="E1241" s="1" t="s">
        <v>172</v>
      </c>
      <c r="F1241" s="1" t="s">
        <v>103</v>
      </c>
      <c r="G1241" s="1" t="s">
        <v>114</v>
      </c>
      <c r="H1241" s="1" t="s">
        <v>177</v>
      </c>
      <c r="I1241" s="1" t="s">
        <v>174</v>
      </c>
      <c r="J1241" s="1" t="s">
        <v>101</v>
      </c>
      <c r="K1241" s="1" t="s">
        <v>175</v>
      </c>
      <c r="L1241" s="1">
        <v>2959957</v>
      </c>
      <c r="M1241" s="1" t="s">
        <v>178</v>
      </c>
      <c r="N1241" s="8">
        <f>DATE(2023,4,3)</f>
        <v>45019</v>
      </c>
      <c r="O1241" s="8">
        <f>DATE(2024,8,31)</f>
        <v>45535</v>
      </c>
      <c r="P1241" s="1">
        <v>1200</v>
      </c>
      <c r="Q1241" s="1">
        <v>1200</v>
      </c>
      <c r="R1241" s="1">
        <f t="shared" si="408"/>
        <v>1200</v>
      </c>
      <c r="S1241" s="1">
        <v>1</v>
      </c>
      <c r="U1241" s="1">
        <f t="shared" si="409"/>
        <v>517</v>
      </c>
      <c r="V1241" s="7">
        <f t="shared" si="410"/>
        <v>2.3210831721470018</v>
      </c>
      <c r="W1241" s="7">
        <f t="shared" si="411"/>
        <v>847.19535783365563</v>
      </c>
      <c r="X1241" s="7">
        <f t="shared" si="412"/>
        <v>1.0589941972920696</v>
      </c>
      <c r="AA1241" s="8">
        <f t="shared" si="413"/>
        <v>44927</v>
      </c>
      <c r="AB1241" s="8">
        <f t="shared" si="414"/>
        <v>45291</v>
      </c>
      <c r="AC1241" s="1">
        <v>34</v>
      </c>
      <c r="AD1241" s="1">
        <f t="shared" si="415"/>
        <v>0</v>
      </c>
      <c r="AE1241" s="1">
        <f t="shared" si="416"/>
        <v>273</v>
      </c>
      <c r="AF1241" s="1">
        <f t="shared" si="417"/>
        <v>0</v>
      </c>
      <c r="AG1241" s="1">
        <f t="shared" si="418"/>
        <v>0</v>
      </c>
      <c r="AH1241" s="1">
        <f t="shared" si="419"/>
        <v>0</v>
      </c>
      <c r="AI1241" s="5">
        <f t="shared" si="420"/>
        <v>0.74794520547945209</v>
      </c>
      <c r="AJ1241" s="5">
        <f t="shared" si="421"/>
        <v>0.79206963249516438</v>
      </c>
      <c r="AK1241" s="5">
        <f t="shared" si="422"/>
        <v>26.930367504835587</v>
      </c>
      <c r="AL1241" s="5">
        <f t="shared" si="423"/>
        <v>26.930367504835587</v>
      </c>
      <c r="AM1241" s="5">
        <f t="shared" si="424"/>
        <v>0</v>
      </c>
      <c r="AN1241" s="5">
        <f t="shared" si="425"/>
        <v>26.930367504835587</v>
      </c>
      <c r="AO1241" s="1" t="s">
        <v>122</v>
      </c>
    </row>
    <row r="1242" spans="1:41" x14ac:dyDescent="0.25">
      <c r="A1242" s="1" t="s">
        <v>19</v>
      </c>
      <c r="B1242" s="1" t="s">
        <v>56</v>
      </c>
      <c r="C1242" s="1" t="s">
        <v>21</v>
      </c>
      <c r="D1242" s="1" t="s">
        <v>57</v>
      </c>
      <c r="E1242" s="1" t="s">
        <v>172</v>
      </c>
      <c r="F1242" s="1" t="s">
        <v>103</v>
      </c>
      <c r="G1242" s="1" t="s">
        <v>114</v>
      </c>
      <c r="H1242" s="1" t="s">
        <v>179</v>
      </c>
      <c r="I1242" s="1" t="s">
        <v>174</v>
      </c>
      <c r="J1242" s="1" t="s">
        <v>101</v>
      </c>
      <c r="K1242" s="1" t="s">
        <v>175</v>
      </c>
      <c r="L1242" s="1">
        <v>2959959</v>
      </c>
      <c r="M1242" s="1" t="s">
        <v>180</v>
      </c>
      <c r="N1242" s="8">
        <f>DATE(2023,4,3)</f>
        <v>45019</v>
      </c>
      <c r="O1242" s="8">
        <f>DATE(2024,8,31)</f>
        <v>45535</v>
      </c>
      <c r="P1242" s="1">
        <v>1200</v>
      </c>
      <c r="Q1242" s="1">
        <v>800</v>
      </c>
      <c r="R1242" s="1">
        <f t="shared" si="408"/>
        <v>800</v>
      </c>
      <c r="S1242" s="1">
        <v>1.5</v>
      </c>
      <c r="U1242" s="1">
        <f t="shared" si="409"/>
        <v>517</v>
      </c>
      <c r="V1242" s="7">
        <f t="shared" si="410"/>
        <v>1.5473887814313345</v>
      </c>
      <c r="W1242" s="7">
        <f t="shared" si="411"/>
        <v>564.79690522243709</v>
      </c>
      <c r="X1242" s="7">
        <f t="shared" si="412"/>
        <v>0.70599613152804641</v>
      </c>
      <c r="AA1242" s="8">
        <f t="shared" si="413"/>
        <v>44927</v>
      </c>
      <c r="AB1242" s="8">
        <f t="shared" si="414"/>
        <v>45291</v>
      </c>
      <c r="AC1242" s="1">
        <v>12</v>
      </c>
      <c r="AD1242" s="1">
        <f t="shared" si="415"/>
        <v>0</v>
      </c>
      <c r="AE1242" s="1">
        <f t="shared" si="416"/>
        <v>273</v>
      </c>
      <c r="AF1242" s="1">
        <f t="shared" si="417"/>
        <v>0</v>
      </c>
      <c r="AG1242" s="1">
        <f t="shared" si="418"/>
        <v>0</v>
      </c>
      <c r="AH1242" s="1">
        <f t="shared" si="419"/>
        <v>0</v>
      </c>
      <c r="AI1242" s="5">
        <f t="shared" si="420"/>
        <v>0.74794520547945209</v>
      </c>
      <c r="AJ1242" s="5">
        <f t="shared" si="421"/>
        <v>0.52804642166344296</v>
      </c>
      <c r="AK1242" s="5">
        <f t="shared" si="422"/>
        <v>6.336557059961315</v>
      </c>
      <c r="AL1242" s="5">
        <f t="shared" si="423"/>
        <v>9.5048355899419725</v>
      </c>
      <c r="AM1242" s="5">
        <f t="shared" si="424"/>
        <v>0</v>
      </c>
      <c r="AN1242" s="5">
        <f t="shared" si="425"/>
        <v>9.5048355899419725</v>
      </c>
      <c r="AO1242" s="1" t="s">
        <v>122</v>
      </c>
    </row>
    <row r="1243" spans="1:41" x14ac:dyDescent="0.25">
      <c r="A1243" s="1" t="s">
        <v>19</v>
      </c>
      <c r="B1243" s="1" t="s">
        <v>56</v>
      </c>
      <c r="C1243" s="1" t="s">
        <v>21</v>
      </c>
      <c r="D1243" s="1" t="s">
        <v>57</v>
      </c>
      <c r="E1243" s="1" t="s">
        <v>96</v>
      </c>
      <c r="F1243" s="1" t="s">
        <v>103</v>
      </c>
      <c r="G1243" s="1" t="s">
        <v>114</v>
      </c>
      <c r="H1243" s="1" t="s">
        <v>1365</v>
      </c>
      <c r="I1243" s="1" t="s">
        <v>100</v>
      </c>
      <c r="J1243" s="1" t="s">
        <v>101</v>
      </c>
      <c r="K1243" s="1" t="s">
        <v>163</v>
      </c>
      <c r="L1243" s="1">
        <v>3070778</v>
      </c>
      <c r="M1243" s="1" t="s">
        <v>1384</v>
      </c>
      <c r="N1243" s="8">
        <f>DATE(2023,7,18)</f>
        <v>45125</v>
      </c>
      <c r="O1243" s="8">
        <f>DATE(2025,12,24)</f>
        <v>46015</v>
      </c>
      <c r="P1243" s="1">
        <v>1080</v>
      </c>
      <c r="Q1243" s="1">
        <v>800</v>
      </c>
      <c r="R1243" s="1">
        <f t="shared" si="408"/>
        <v>800</v>
      </c>
      <c r="S1243" s="1">
        <v>1</v>
      </c>
      <c r="U1243" s="1">
        <f t="shared" si="409"/>
        <v>891</v>
      </c>
      <c r="V1243" s="7">
        <f t="shared" si="410"/>
        <v>0.89786756453423122</v>
      </c>
      <c r="W1243" s="7">
        <f t="shared" si="411"/>
        <v>327.7216610549944</v>
      </c>
      <c r="X1243" s="7">
        <f t="shared" si="412"/>
        <v>0.40965207631874301</v>
      </c>
      <c r="AA1243" s="8">
        <f t="shared" si="413"/>
        <v>44927</v>
      </c>
      <c r="AB1243" s="8">
        <f t="shared" si="414"/>
        <v>45291</v>
      </c>
      <c r="AC1243" s="1">
        <v>30</v>
      </c>
      <c r="AD1243" s="1">
        <f t="shared" si="415"/>
        <v>0</v>
      </c>
      <c r="AE1243" s="1">
        <f t="shared" si="416"/>
        <v>167</v>
      </c>
      <c r="AF1243" s="1">
        <f t="shared" si="417"/>
        <v>0</v>
      </c>
      <c r="AG1243" s="1">
        <f t="shared" si="418"/>
        <v>0</v>
      </c>
      <c r="AH1243" s="1">
        <f t="shared" si="419"/>
        <v>0</v>
      </c>
      <c r="AI1243" s="5">
        <f t="shared" si="420"/>
        <v>0.45753424657534247</v>
      </c>
      <c r="AJ1243" s="5">
        <f t="shared" si="421"/>
        <v>0.18742985409652077</v>
      </c>
      <c r="AK1243" s="5">
        <f t="shared" si="422"/>
        <v>5.6228956228956228</v>
      </c>
      <c r="AL1243" s="5">
        <f t="shared" si="423"/>
        <v>5.6228956228956228</v>
      </c>
      <c r="AM1243" s="5">
        <f t="shared" si="424"/>
        <v>0</v>
      </c>
      <c r="AN1243" s="5">
        <f t="shared" si="425"/>
        <v>5.6228956228956228</v>
      </c>
      <c r="AO1243" s="1" t="s">
        <v>102</v>
      </c>
    </row>
    <row r="1244" spans="1:41" x14ac:dyDescent="0.25">
      <c r="A1244" s="1" t="s">
        <v>19</v>
      </c>
      <c r="B1244" s="1" t="s">
        <v>56</v>
      </c>
      <c r="C1244" s="1" t="s">
        <v>21</v>
      </c>
      <c r="D1244" s="1" t="s">
        <v>57</v>
      </c>
      <c r="E1244" s="1" t="s">
        <v>96</v>
      </c>
      <c r="F1244" s="1" t="s">
        <v>103</v>
      </c>
      <c r="G1244" s="1" t="s">
        <v>114</v>
      </c>
      <c r="H1244" s="1" t="s">
        <v>249</v>
      </c>
      <c r="I1244" s="1" t="s">
        <v>162</v>
      </c>
      <c r="J1244" s="1" t="s">
        <v>101</v>
      </c>
      <c r="K1244" s="1" t="s">
        <v>163</v>
      </c>
      <c r="L1244" s="1">
        <v>3070785</v>
      </c>
      <c r="M1244" s="1" t="s">
        <v>1385</v>
      </c>
      <c r="N1244" s="8">
        <f>DATE(2023,7,18)</f>
        <v>45125</v>
      </c>
      <c r="O1244" s="8">
        <f>DATE(2025,12,24)</f>
        <v>46015</v>
      </c>
      <c r="P1244" s="1">
        <v>1080</v>
      </c>
      <c r="Q1244" s="1">
        <v>1000</v>
      </c>
      <c r="R1244" s="1">
        <f t="shared" si="408"/>
        <v>1000</v>
      </c>
      <c r="S1244" s="1">
        <v>1.5</v>
      </c>
      <c r="U1244" s="1">
        <f t="shared" si="409"/>
        <v>891</v>
      </c>
      <c r="V1244" s="7">
        <f t="shared" si="410"/>
        <v>1.122334455667789</v>
      </c>
      <c r="W1244" s="7">
        <f t="shared" si="411"/>
        <v>409.65207631874296</v>
      </c>
      <c r="X1244" s="7">
        <f t="shared" si="412"/>
        <v>0.5120650953984287</v>
      </c>
      <c r="AA1244" s="8">
        <f t="shared" si="413"/>
        <v>44927</v>
      </c>
      <c r="AB1244" s="8">
        <f t="shared" si="414"/>
        <v>45291</v>
      </c>
      <c r="AC1244" s="1">
        <v>20</v>
      </c>
      <c r="AD1244" s="1">
        <f t="shared" si="415"/>
        <v>0</v>
      </c>
      <c r="AE1244" s="1">
        <f t="shared" si="416"/>
        <v>167</v>
      </c>
      <c r="AF1244" s="1">
        <f t="shared" si="417"/>
        <v>0</v>
      </c>
      <c r="AG1244" s="1">
        <f t="shared" si="418"/>
        <v>0</v>
      </c>
      <c r="AH1244" s="1">
        <f t="shared" si="419"/>
        <v>0</v>
      </c>
      <c r="AI1244" s="5">
        <f t="shared" si="420"/>
        <v>0.45753424657534247</v>
      </c>
      <c r="AJ1244" s="5">
        <f t="shared" si="421"/>
        <v>0.23428731762065094</v>
      </c>
      <c r="AK1244" s="5">
        <f t="shared" si="422"/>
        <v>4.6857463524130187</v>
      </c>
      <c r="AL1244" s="5">
        <f t="shared" si="423"/>
        <v>7.0286195286195277</v>
      </c>
      <c r="AM1244" s="5">
        <f t="shared" si="424"/>
        <v>0</v>
      </c>
      <c r="AN1244" s="5">
        <f t="shared" si="425"/>
        <v>7.0286195286195277</v>
      </c>
      <c r="AO1244" s="1" t="s">
        <v>102</v>
      </c>
    </row>
    <row r="1245" spans="1:41" x14ac:dyDescent="0.25">
      <c r="A1245" s="1" t="s">
        <v>19</v>
      </c>
      <c r="B1245" s="1" t="s">
        <v>56</v>
      </c>
      <c r="C1245" s="1" t="s">
        <v>21</v>
      </c>
      <c r="D1245" s="1" t="s">
        <v>57</v>
      </c>
      <c r="E1245" s="1" t="s">
        <v>96</v>
      </c>
      <c r="F1245" s="1" t="s">
        <v>103</v>
      </c>
      <c r="G1245" s="1" t="s">
        <v>114</v>
      </c>
      <c r="H1245" s="1" t="s">
        <v>1365</v>
      </c>
      <c r="I1245" s="1" t="s">
        <v>100</v>
      </c>
      <c r="J1245" s="1" t="s">
        <v>101</v>
      </c>
      <c r="K1245" s="1" t="s">
        <v>163</v>
      </c>
      <c r="L1245" s="1">
        <v>3070788</v>
      </c>
      <c r="M1245" s="1" t="s">
        <v>1386</v>
      </c>
      <c r="N1245" s="8">
        <f>DATE(2023,7,18)</f>
        <v>45125</v>
      </c>
      <c r="O1245" s="8">
        <f>DATE(2025,12,23)</f>
        <v>46014</v>
      </c>
      <c r="P1245" s="1">
        <v>1080</v>
      </c>
      <c r="Q1245" s="1">
        <v>800</v>
      </c>
      <c r="R1245" s="1">
        <f t="shared" si="408"/>
        <v>800</v>
      </c>
      <c r="S1245" s="1">
        <v>1</v>
      </c>
      <c r="U1245" s="1">
        <f t="shared" si="409"/>
        <v>890</v>
      </c>
      <c r="V1245" s="7">
        <f t="shared" si="410"/>
        <v>0.898876404494382</v>
      </c>
      <c r="W1245" s="7">
        <f t="shared" si="411"/>
        <v>328.08988764044943</v>
      </c>
      <c r="X1245" s="7">
        <f t="shared" si="412"/>
        <v>0.4101123595505618</v>
      </c>
      <c r="AA1245" s="8">
        <f t="shared" si="413"/>
        <v>44927</v>
      </c>
      <c r="AB1245" s="8">
        <f t="shared" si="414"/>
        <v>45291</v>
      </c>
      <c r="AC1245" s="1">
        <v>31</v>
      </c>
      <c r="AD1245" s="1">
        <f t="shared" si="415"/>
        <v>0</v>
      </c>
      <c r="AE1245" s="1">
        <f t="shared" si="416"/>
        <v>167</v>
      </c>
      <c r="AF1245" s="1">
        <f t="shared" si="417"/>
        <v>0</v>
      </c>
      <c r="AG1245" s="1">
        <f t="shared" si="418"/>
        <v>0</v>
      </c>
      <c r="AH1245" s="1">
        <f t="shared" si="419"/>
        <v>0</v>
      </c>
      <c r="AI1245" s="5">
        <f t="shared" si="420"/>
        <v>0.45753424657534247</v>
      </c>
      <c r="AJ1245" s="5">
        <f t="shared" si="421"/>
        <v>0.18764044943820224</v>
      </c>
      <c r="AK1245" s="5">
        <f t="shared" si="422"/>
        <v>5.8168539325842694</v>
      </c>
      <c r="AL1245" s="5">
        <f t="shared" si="423"/>
        <v>5.8168539325842694</v>
      </c>
      <c r="AM1245" s="5">
        <f t="shared" si="424"/>
        <v>0</v>
      </c>
      <c r="AN1245" s="5">
        <f t="shared" si="425"/>
        <v>5.8168539325842694</v>
      </c>
      <c r="AO1245" s="1" t="s">
        <v>102</v>
      </c>
    </row>
    <row r="1246" spans="1:41" x14ac:dyDescent="0.25">
      <c r="A1246" s="1" t="s">
        <v>19</v>
      </c>
      <c r="B1246" s="1" t="s">
        <v>58</v>
      </c>
      <c r="C1246" s="1" t="s">
        <v>21</v>
      </c>
      <c r="D1246" s="1" t="s">
        <v>59</v>
      </c>
      <c r="E1246" s="1" t="s">
        <v>96</v>
      </c>
      <c r="F1246" s="1" t="s">
        <v>103</v>
      </c>
      <c r="G1246" s="1" t="s">
        <v>127</v>
      </c>
      <c r="H1246" s="1" t="s">
        <v>251</v>
      </c>
      <c r="I1246" s="1" t="s">
        <v>100</v>
      </c>
      <c r="J1246" s="1" t="s">
        <v>101</v>
      </c>
      <c r="L1246" s="1">
        <v>2092252</v>
      </c>
      <c r="M1246" s="1" t="s">
        <v>1387</v>
      </c>
      <c r="N1246" s="8">
        <f>DATE(2016,8,25)</f>
        <v>42607</v>
      </c>
      <c r="O1246" s="8">
        <f>DATE(2019,7,19)</f>
        <v>43665</v>
      </c>
      <c r="P1246" s="1">
        <v>2033</v>
      </c>
      <c r="Q1246" s="1">
        <v>1600</v>
      </c>
      <c r="R1246" s="1">
        <f t="shared" si="408"/>
        <v>1600</v>
      </c>
      <c r="S1246" s="1">
        <v>1</v>
      </c>
      <c r="U1246" s="1">
        <f t="shared" si="409"/>
        <v>1059</v>
      </c>
      <c r="V1246" s="7">
        <f t="shared" si="410"/>
        <v>1.5108593012275733</v>
      </c>
      <c r="W1246" s="7">
        <f t="shared" si="411"/>
        <v>551.46364494806426</v>
      </c>
      <c r="X1246" s="7">
        <f t="shared" si="412"/>
        <v>0.68932955618508029</v>
      </c>
      <c r="AA1246" s="8">
        <f t="shared" si="413"/>
        <v>44927</v>
      </c>
      <c r="AB1246" s="8">
        <f t="shared" si="414"/>
        <v>45291</v>
      </c>
      <c r="AC1246" s="1">
        <v>2</v>
      </c>
      <c r="AD1246" s="1">
        <f t="shared" si="415"/>
        <v>0</v>
      </c>
      <c r="AE1246" s="1">
        <f t="shared" si="416"/>
        <v>0</v>
      </c>
      <c r="AF1246" s="1">
        <f t="shared" si="417"/>
        <v>0</v>
      </c>
      <c r="AG1246" s="1">
        <f t="shared" si="418"/>
        <v>0</v>
      </c>
      <c r="AH1246" s="1">
        <f t="shared" si="419"/>
        <v>182.5</v>
      </c>
      <c r="AI1246" s="5">
        <f t="shared" si="420"/>
        <v>0.5</v>
      </c>
      <c r="AJ1246" s="5">
        <f t="shared" si="421"/>
        <v>0.34466477809254015</v>
      </c>
      <c r="AK1246" s="5">
        <f t="shared" si="422"/>
        <v>0</v>
      </c>
      <c r="AL1246" s="5">
        <f t="shared" si="423"/>
        <v>0</v>
      </c>
      <c r="AM1246" s="5">
        <f t="shared" si="424"/>
        <v>0</v>
      </c>
      <c r="AN1246" s="5">
        <f t="shared" si="425"/>
        <v>0</v>
      </c>
      <c r="AO1246" s="1" t="s">
        <v>102</v>
      </c>
    </row>
    <row r="1247" spans="1:41" x14ac:dyDescent="0.25">
      <c r="A1247" s="1" t="s">
        <v>19</v>
      </c>
      <c r="B1247" s="1" t="s">
        <v>58</v>
      </c>
      <c r="C1247" s="1" t="s">
        <v>21</v>
      </c>
      <c r="D1247" s="1" t="s">
        <v>59</v>
      </c>
      <c r="E1247" s="1" t="s">
        <v>96</v>
      </c>
      <c r="F1247" s="1" t="s">
        <v>103</v>
      </c>
      <c r="G1247" s="1" t="s">
        <v>127</v>
      </c>
      <c r="H1247" s="1" t="s">
        <v>251</v>
      </c>
      <c r="I1247" s="1" t="s">
        <v>100</v>
      </c>
      <c r="J1247" s="1" t="s">
        <v>101</v>
      </c>
      <c r="L1247" s="1">
        <v>2133996</v>
      </c>
      <c r="M1247" s="1" t="s">
        <v>1388</v>
      </c>
      <c r="N1247" s="8">
        <f>DATE(2017,2,8)</f>
        <v>42774</v>
      </c>
      <c r="O1247" s="8">
        <f>DATE(2019,12,20)</f>
        <v>43819</v>
      </c>
      <c r="P1247" s="1">
        <v>2058</v>
      </c>
      <c r="Q1247" s="1">
        <v>1600</v>
      </c>
      <c r="R1247" s="1">
        <f t="shared" si="408"/>
        <v>1600</v>
      </c>
      <c r="S1247" s="1">
        <v>1</v>
      </c>
      <c r="U1247" s="1">
        <f t="shared" si="409"/>
        <v>1046</v>
      </c>
      <c r="V1247" s="7">
        <f t="shared" si="410"/>
        <v>1.5296367112810707</v>
      </c>
      <c r="W1247" s="7">
        <f t="shared" si="411"/>
        <v>558.31739961759081</v>
      </c>
      <c r="X1247" s="7">
        <f t="shared" si="412"/>
        <v>0.69789674952198855</v>
      </c>
      <c r="AA1247" s="8">
        <f t="shared" si="413"/>
        <v>44927</v>
      </c>
      <c r="AB1247" s="8">
        <f t="shared" si="414"/>
        <v>45291</v>
      </c>
      <c r="AC1247" s="1">
        <v>0</v>
      </c>
      <c r="AD1247" s="1">
        <f t="shared" si="415"/>
        <v>0</v>
      </c>
      <c r="AE1247" s="1">
        <f t="shared" si="416"/>
        <v>0</v>
      </c>
      <c r="AF1247" s="1">
        <f t="shared" si="417"/>
        <v>0</v>
      </c>
      <c r="AG1247" s="1">
        <f t="shared" si="418"/>
        <v>0</v>
      </c>
      <c r="AH1247" s="1">
        <f t="shared" si="419"/>
        <v>182.5</v>
      </c>
      <c r="AI1247" s="5">
        <f t="shared" si="420"/>
        <v>0.5</v>
      </c>
      <c r="AJ1247" s="5">
        <f t="shared" si="421"/>
        <v>0.34894837476099427</v>
      </c>
      <c r="AK1247" s="5">
        <f t="shared" si="422"/>
        <v>0</v>
      </c>
      <c r="AL1247" s="5">
        <f t="shared" si="423"/>
        <v>0</v>
      </c>
      <c r="AM1247" s="5">
        <f t="shared" si="424"/>
        <v>0</v>
      </c>
      <c r="AN1247" s="5">
        <f t="shared" si="425"/>
        <v>0</v>
      </c>
      <c r="AO1247" s="1" t="s">
        <v>102</v>
      </c>
    </row>
    <row r="1248" spans="1:41" x14ac:dyDescent="0.25">
      <c r="A1248" s="1" t="s">
        <v>19</v>
      </c>
      <c r="B1248" s="1" t="s">
        <v>58</v>
      </c>
      <c r="C1248" s="1" t="s">
        <v>21</v>
      </c>
      <c r="D1248" s="1" t="s">
        <v>59</v>
      </c>
      <c r="E1248" s="1" t="s">
        <v>96</v>
      </c>
      <c r="F1248" s="1" t="s">
        <v>103</v>
      </c>
      <c r="G1248" s="1" t="s">
        <v>127</v>
      </c>
      <c r="H1248" s="1" t="s">
        <v>251</v>
      </c>
      <c r="I1248" s="1" t="s">
        <v>100</v>
      </c>
      <c r="J1248" s="1" t="s">
        <v>101</v>
      </c>
      <c r="L1248" s="1">
        <v>2183751</v>
      </c>
      <c r="M1248" s="1" t="s">
        <v>1389</v>
      </c>
      <c r="N1248" s="8">
        <f>DATE(2017,7,24)</f>
        <v>42940</v>
      </c>
      <c r="O1248" s="8">
        <f>DATE(2020,7,24)</f>
        <v>44036</v>
      </c>
      <c r="P1248" s="1">
        <v>2058</v>
      </c>
      <c r="Q1248" s="1">
        <v>1600</v>
      </c>
      <c r="R1248" s="1">
        <f t="shared" si="408"/>
        <v>1600</v>
      </c>
      <c r="S1248" s="1">
        <v>1</v>
      </c>
      <c r="U1248" s="1">
        <f t="shared" si="409"/>
        <v>1097</v>
      </c>
      <c r="V1248" s="7">
        <f t="shared" si="410"/>
        <v>1.4585232452142205</v>
      </c>
      <c r="W1248" s="7">
        <f t="shared" si="411"/>
        <v>532.36098450319048</v>
      </c>
      <c r="X1248" s="7">
        <f t="shared" si="412"/>
        <v>0.66545123062898814</v>
      </c>
      <c r="AA1248" s="8">
        <f t="shared" si="413"/>
        <v>44927</v>
      </c>
      <c r="AB1248" s="8">
        <f t="shared" si="414"/>
        <v>45291</v>
      </c>
      <c r="AC1248" s="1">
        <v>3</v>
      </c>
      <c r="AD1248" s="1">
        <f t="shared" si="415"/>
        <v>0</v>
      </c>
      <c r="AE1248" s="1">
        <f t="shared" si="416"/>
        <v>0</v>
      </c>
      <c r="AF1248" s="1">
        <f t="shared" si="417"/>
        <v>0</v>
      </c>
      <c r="AG1248" s="1">
        <f t="shared" si="418"/>
        <v>0</v>
      </c>
      <c r="AH1248" s="1">
        <f t="shared" si="419"/>
        <v>182.5</v>
      </c>
      <c r="AI1248" s="5">
        <f t="shared" si="420"/>
        <v>0.5</v>
      </c>
      <c r="AJ1248" s="5">
        <f t="shared" si="421"/>
        <v>0.33272561531449407</v>
      </c>
      <c r="AK1248" s="5">
        <f t="shared" si="422"/>
        <v>0.49908842297174111</v>
      </c>
      <c r="AL1248" s="5">
        <f t="shared" si="423"/>
        <v>0.49908842297174111</v>
      </c>
      <c r="AM1248" s="5">
        <f t="shared" si="424"/>
        <v>0</v>
      </c>
      <c r="AN1248" s="5">
        <f t="shared" si="425"/>
        <v>0.49908842297174111</v>
      </c>
      <c r="AO1248" s="1" t="s">
        <v>102</v>
      </c>
    </row>
    <row r="1249" spans="1:41" x14ac:dyDescent="0.25">
      <c r="A1249" s="1" t="s">
        <v>19</v>
      </c>
      <c r="B1249" s="1" t="s">
        <v>58</v>
      </c>
      <c r="C1249" s="1" t="s">
        <v>21</v>
      </c>
      <c r="D1249" s="1" t="s">
        <v>59</v>
      </c>
      <c r="E1249" s="1" t="s">
        <v>96</v>
      </c>
      <c r="F1249" s="1" t="s">
        <v>103</v>
      </c>
      <c r="G1249" s="1" t="s">
        <v>114</v>
      </c>
      <c r="H1249" s="1" t="s">
        <v>1390</v>
      </c>
      <c r="I1249" s="1" t="s">
        <v>331</v>
      </c>
      <c r="J1249" s="1" t="s">
        <v>101</v>
      </c>
      <c r="K1249" s="1" t="s">
        <v>116</v>
      </c>
      <c r="L1249" s="1">
        <v>2472217</v>
      </c>
      <c r="M1249" s="1" t="s">
        <v>1391</v>
      </c>
      <c r="N1249" s="8">
        <f>DATE(2018,1,30)</f>
        <v>43130</v>
      </c>
      <c r="O1249" s="8">
        <f>DATE(2020,12,20)</f>
        <v>44185</v>
      </c>
      <c r="P1249" s="1">
        <v>3821</v>
      </c>
      <c r="Q1249" s="1">
        <v>1200</v>
      </c>
      <c r="R1249" s="1">
        <f t="shared" si="408"/>
        <v>3200</v>
      </c>
      <c r="S1249" s="1">
        <v>2</v>
      </c>
      <c r="U1249" s="1">
        <f t="shared" si="409"/>
        <v>1056</v>
      </c>
      <c r="V1249" s="7">
        <f t="shared" si="410"/>
        <v>3.0303030303030303</v>
      </c>
      <c r="W1249" s="7">
        <f t="shared" si="411"/>
        <v>1106.060606060606</v>
      </c>
      <c r="X1249" s="7">
        <f t="shared" si="412"/>
        <v>1.3825757575757576</v>
      </c>
      <c r="AA1249" s="8">
        <f t="shared" si="413"/>
        <v>44927</v>
      </c>
      <c r="AB1249" s="8">
        <f t="shared" si="414"/>
        <v>45291</v>
      </c>
      <c r="AC1249" s="1">
        <v>1</v>
      </c>
      <c r="AD1249" s="1">
        <f t="shared" si="415"/>
        <v>0</v>
      </c>
      <c r="AE1249" s="1">
        <f t="shared" si="416"/>
        <v>0</v>
      </c>
      <c r="AF1249" s="1">
        <f t="shared" si="417"/>
        <v>0</v>
      </c>
      <c r="AG1249" s="1">
        <f t="shared" si="418"/>
        <v>0</v>
      </c>
      <c r="AH1249" s="1">
        <f t="shared" si="419"/>
        <v>182.5</v>
      </c>
      <c r="AI1249" s="5">
        <f t="shared" si="420"/>
        <v>0.5</v>
      </c>
      <c r="AJ1249" s="5">
        <f t="shared" si="421"/>
        <v>0.69128787878787878</v>
      </c>
      <c r="AK1249" s="5">
        <f t="shared" si="422"/>
        <v>0.34564393939393939</v>
      </c>
      <c r="AL1249" s="5">
        <f t="shared" si="423"/>
        <v>0.69128787878787878</v>
      </c>
      <c r="AM1249" s="5">
        <f t="shared" si="424"/>
        <v>0</v>
      </c>
      <c r="AN1249" s="5">
        <f t="shared" si="425"/>
        <v>0.69128787878787878</v>
      </c>
      <c r="AO1249" s="1" t="s">
        <v>102</v>
      </c>
    </row>
    <row r="1250" spans="1:41" x14ac:dyDescent="0.25">
      <c r="A1250" s="1" t="s">
        <v>19</v>
      </c>
      <c r="B1250" s="1" t="s">
        <v>58</v>
      </c>
      <c r="C1250" s="1" t="s">
        <v>21</v>
      </c>
      <c r="D1250" s="1" t="s">
        <v>59</v>
      </c>
      <c r="E1250" s="1" t="s">
        <v>96</v>
      </c>
      <c r="F1250" s="1" t="s">
        <v>103</v>
      </c>
      <c r="G1250" s="1" t="s">
        <v>127</v>
      </c>
      <c r="H1250" s="1" t="s">
        <v>251</v>
      </c>
      <c r="I1250" s="1" t="s">
        <v>100</v>
      </c>
      <c r="J1250" s="1" t="s">
        <v>101</v>
      </c>
      <c r="L1250" s="1">
        <v>2479764</v>
      </c>
      <c r="M1250" s="1" t="s">
        <v>1392</v>
      </c>
      <c r="N1250" s="8">
        <f>DATE(2018,2,1)</f>
        <v>43132</v>
      </c>
      <c r="O1250" s="8">
        <f>DATE(2020,12,18)</f>
        <v>44183</v>
      </c>
      <c r="P1250" s="1">
        <v>2033</v>
      </c>
      <c r="Q1250" s="1">
        <v>1600</v>
      </c>
      <c r="R1250" s="1">
        <f t="shared" si="408"/>
        <v>1600</v>
      </c>
      <c r="S1250" s="1">
        <v>1</v>
      </c>
      <c r="U1250" s="1">
        <f t="shared" si="409"/>
        <v>1052</v>
      </c>
      <c r="V1250" s="7">
        <f t="shared" si="410"/>
        <v>1.520912547528517</v>
      </c>
      <c r="W1250" s="7">
        <f t="shared" si="411"/>
        <v>555.13307984790868</v>
      </c>
      <c r="X1250" s="7">
        <f t="shared" si="412"/>
        <v>0.69391634980988581</v>
      </c>
      <c r="AA1250" s="8">
        <f t="shared" si="413"/>
        <v>44927</v>
      </c>
      <c r="AB1250" s="8">
        <f t="shared" si="414"/>
        <v>45291</v>
      </c>
      <c r="AC1250" s="1">
        <v>3</v>
      </c>
      <c r="AD1250" s="1">
        <f t="shared" si="415"/>
        <v>0</v>
      </c>
      <c r="AE1250" s="1">
        <f t="shared" si="416"/>
        <v>0</v>
      </c>
      <c r="AF1250" s="1">
        <f t="shared" si="417"/>
        <v>0</v>
      </c>
      <c r="AG1250" s="1">
        <f t="shared" si="418"/>
        <v>0</v>
      </c>
      <c r="AH1250" s="1">
        <f t="shared" si="419"/>
        <v>182.5</v>
      </c>
      <c r="AI1250" s="5">
        <f t="shared" si="420"/>
        <v>0.5</v>
      </c>
      <c r="AJ1250" s="5">
        <f t="shared" si="421"/>
        <v>0.34695817490494291</v>
      </c>
      <c r="AK1250" s="5">
        <f t="shared" si="422"/>
        <v>0.52043726235741439</v>
      </c>
      <c r="AL1250" s="5">
        <f t="shared" si="423"/>
        <v>0.52043726235741439</v>
      </c>
      <c r="AM1250" s="5">
        <f t="shared" si="424"/>
        <v>0</v>
      </c>
      <c r="AN1250" s="5">
        <f t="shared" si="425"/>
        <v>0.52043726235741439</v>
      </c>
      <c r="AO1250" s="1" t="s">
        <v>102</v>
      </c>
    </row>
    <row r="1251" spans="1:41" x14ac:dyDescent="0.25">
      <c r="A1251" s="1" t="s">
        <v>19</v>
      </c>
      <c r="B1251" s="1" t="s">
        <v>58</v>
      </c>
      <c r="C1251" s="1" t="s">
        <v>21</v>
      </c>
      <c r="D1251" s="1" t="s">
        <v>59</v>
      </c>
      <c r="E1251" s="1" t="s">
        <v>96</v>
      </c>
      <c r="F1251" s="1" t="s">
        <v>103</v>
      </c>
      <c r="G1251" s="1" t="s">
        <v>114</v>
      </c>
      <c r="H1251" s="1" t="s">
        <v>1390</v>
      </c>
      <c r="I1251" s="1" t="s">
        <v>331</v>
      </c>
      <c r="J1251" s="1" t="s">
        <v>101</v>
      </c>
      <c r="K1251" s="1" t="s">
        <v>116</v>
      </c>
      <c r="L1251" s="1">
        <v>2522255</v>
      </c>
      <c r="M1251" s="1" t="s">
        <v>1393</v>
      </c>
      <c r="N1251" s="8">
        <f>DATE(2018,7,24)</f>
        <v>43305</v>
      </c>
      <c r="O1251" s="8">
        <f>DATE(2021,7,1)</f>
        <v>44378</v>
      </c>
      <c r="P1251" s="1">
        <v>3821</v>
      </c>
      <c r="Q1251" s="1">
        <v>1200</v>
      </c>
      <c r="R1251" s="1">
        <f t="shared" si="408"/>
        <v>3200</v>
      </c>
      <c r="S1251" s="1">
        <v>2</v>
      </c>
      <c r="U1251" s="1">
        <f t="shared" si="409"/>
        <v>1074</v>
      </c>
      <c r="V1251" s="7">
        <f t="shared" si="410"/>
        <v>2.9795158286778398</v>
      </c>
      <c r="W1251" s="7">
        <f t="shared" si="411"/>
        <v>1087.5232774674116</v>
      </c>
      <c r="X1251" s="7">
        <f t="shared" si="412"/>
        <v>1.3594040968342644</v>
      </c>
      <c r="AA1251" s="8">
        <f t="shared" si="413"/>
        <v>44927</v>
      </c>
      <c r="AB1251" s="8">
        <f t="shared" si="414"/>
        <v>45291</v>
      </c>
      <c r="AC1251" s="1">
        <v>3</v>
      </c>
      <c r="AD1251" s="1">
        <f t="shared" si="415"/>
        <v>0</v>
      </c>
      <c r="AE1251" s="1">
        <f t="shared" si="416"/>
        <v>0</v>
      </c>
      <c r="AF1251" s="1">
        <f t="shared" si="417"/>
        <v>0</v>
      </c>
      <c r="AG1251" s="1">
        <f t="shared" si="418"/>
        <v>0</v>
      </c>
      <c r="AH1251" s="1">
        <f t="shared" si="419"/>
        <v>182.5</v>
      </c>
      <c r="AI1251" s="5">
        <f t="shared" si="420"/>
        <v>0.5</v>
      </c>
      <c r="AJ1251" s="5">
        <f t="shared" si="421"/>
        <v>0.67970204841713222</v>
      </c>
      <c r="AK1251" s="5">
        <f t="shared" si="422"/>
        <v>1.0195530726256983</v>
      </c>
      <c r="AL1251" s="5">
        <f t="shared" si="423"/>
        <v>2.0391061452513966</v>
      </c>
      <c r="AM1251" s="5">
        <f t="shared" si="424"/>
        <v>0</v>
      </c>
      <c r="AN1251" s="5">
        <f t="shared" si="425"/>
        <v>2.0391061452513966</v>
      </c>
      <c r="AO1251" s="1" t="s">
        <v>102</v>
      </c>
    </row>
    <row r="1252" spans="1:41" x14ac:dyDescent="0.25">
      <c r="A1252" s="1" t="s">
        <v>19</v>
      </c>
      <c r="B1252" s="1" t="s">
        <v>58</v>
      </c>
      <c r="C1252" s="1" t="s">
        <v>21</v>
      </c>
      <c r="D1252" s="1" t="s">
        <v>59</v>
      </c>
      <c r="E1252" s="1" t="s">
        <v>96</v>
      </c>
      <c r="F1252" s="1" t="s">
        <v>103</v>
      </c>
      <c r="G1252" s="1" t="s">
        <v>114</v>
      </c>
      <c r="H1252" s="1" t="s">
        <v>1154</v>
      </c>
      <c r="I1252" s="1" t="s">
        <v>100</v>
      </c>
      <c r="J1252" s="1" t="s">
        <v>101</v>
      </c>
      <c r="K1252" s="1" t="s">
        <v>116</v>
      </c>
      <c r="L1252" s="1">
        <v>2522259</v>
      </c>
      <c r="M1252" s="1" t="s">
        <v>1394</v>
      </c>
      <c r="N1252" s="8">
        <f>DATE(2018,7,24)</f>
        <v>43305</v>
      </c>
      <c r="O1252" s="8">
        <f>DATE(2021,7,1)</f>
        <v>44378</v>
      </c>
      <c r="P1252" s="1">
        <v>3390</v>
      </c>
      <c r="Q1252" s="1">
        <v>800</v>
      </c>
      <c r="R1252" s="1">
        <f t="shared" si="408"/>
        <v>3000</v>
      </c>
      <c r="S1252" s="1">
        <v>1.5</v>
      </c>
      <c r="U1252" s="1">
        <f t="shared" si="409"/>
        <v>1074</v>
      </c>
      <c r="V1252" s="7">
        <f t="shared" si="410"/>
        <v>2.7932960893854748</v>
      </c>
      <c r="W1252" s="7">
        <f t="shared" si="411"/>
        <v>1019.5530726256983</v>
      </c>
      <c r="X1252" s="7">
        <f t="shared" si="412"/>
        <v>1.2744413407821229</v>
      </c>
      <c r="AA1252" s="8">
        <f t="shared" si="413"/>
        <v>44927</v>
      </c>
      <c r="AB1252" s="8">
        <f t="shared" si="414"/>
        <v>45291</v>
      </c>
      <c r="AC1252" s="1">
        <v>3</v>
      </c>
      <c r="AD1252" s="1">
        <f t="shared" si="415"/>
        <v>0</v>
      </c>
      <c r="AE1252" s="1">
        <f t="shared" si="416"/>
        <v>0</v>
      </c>
      <c r="AF1252" s="1">
        <f t="shared" si="417"/>
        <v>0</v>
      </c>
      <c r="AG1252" s="1">
        <f t="shared" si="418"/>
        <v>0</v>
      </c>
      <c r="AH1252" s="1">
        <f t="shared" si="419"/>
        <v>182.5</v>
      </c>
      <c r="AI1252" s="5">
        <f t="shared" si="420"/>
        <v>0.5</v>
      </c>
      <c r="AJ1252" s="5">
        <f t="shared" si="421"/>
        <v>0.63722067039106145</v>
      </c>
      <c r="AK1252" s="5">
        <f t="shared" si="422"/>
        <v>0.95583100558659218</v>
      </c>
      <c r="AL1252" s="5">
        <f t="shared" si="423"/>
        <v>1.4337465083798882</v>
      </c>
      <c r="AM1252" s="5">
        <f t="shared" si="424"/>
        <v>0</v>
      </c>
      <c r="AN1252" s="5">
        <f t="shared" si="425"/>
        <v>1.4337465083798882</v>
      </c>
      <c r="AO1252" s="1" t="s">
        <v>102</v>
      </c>
    </row>
    <row r="1253" spans="1:41" x14ac:dyDescent="0.25">
      <c r="A1253" s="1" t="s">
        <v>19</v>
      </c>
      <c r="B1253" s="1" t="s">
        <v>58</v>
      </c>
      <c r="C1253" s="1" t="s">
        <v>21</v>
      </c>
      <c r="D1253" s="1" t="s">
        <v>59</v>
      </c>
      <c r="E1253" s="1" t="s">
        <v>96</v>
      </c>
      <c r="F1253" s="1" t="s">
        <v>103</v>
      </c>
      <c r="G1253" s="1" t="s">
        <v>127</v>
      </c>
      <c r="H1253" s="1" t="s">
        <v>251</v>
      </c>
      <c r="I1253" s="1" t="s">
        <v>100</v>
      </c>
      <c r="J1253" s="1" t="s">
        <v>101</v>
      </c>
      <c r="L1253" s="1">
        <v>2522262</v>
      </c>
      <c r="M1253" s="1" t="s">
        <v>1395</v>
      </c>
      <c r="N1253" s="8">
        <f>DATE(2018,7,24)</f>
        <v>43305</v>
      </c>
      <c r="O1253" s="8">
        <f>DATE(2021,7,1)</f>
        <v>44378</v>
      </c>
      <c r="P1253" s="1">
        <v>2058</v>
      </c>
      <c r="Q1253" s="1">
        <v>1600</v>
      </c>
      <c r="R1253" s="1">
        <f t="shared" si="408"/>
        <v>1600</v>
      </c>
      <c r="S1253" s="1">
        <v>1</v>
      </c>
      <c r="U1253" s="1">
        <f t="shared" si="409"/>
        <v>1074</v>
      </c>
      <c r="V1253" s="7">
        <f t="shared" si="410"/>
        <v>1.4897579143389199</v>
      </c>
      <c r="W1253" s="7">
        <f t="shared" si="411"/>
        <v>543.76163873370581</v>
      </c>
      <c r="X1253" s="7">
        <f t="shared" si="412"/>
        <v>0.67970204841713222</v>
      </c>
      <c r="AA1253" s="8">
        <f t="shared" si="413"/>
        <v>44927</v>
      </c>
      <c r="AB1253" s="8">
        <f t="shared" si="414"/>
        <v>45291</v>
      </c>
      <c r="AC1253" s="1">
        <v>8</v>
      </c>
      <c r="AD1253" s="1">
        <f t="shared" si="415"/>
        <v>0</v>
      </c>
      <c r="AE1253" s="1">
        <f t="shared" si="416"/>
        <v>0</v>
      </c>
      <c r="AF1253" s="1">
        <f t="shared" si="417"/>
        <v>0</v>
      </c>
      <c r="AG1253" s="1">
        <f t="shared" si="418"/>
        <v>0</v>
      </c>
      <c r="AH1253" s="1">
        <f t="shared" si="419"/>
        <v>182.5</v>
      </c>
      <c r="AI1253" s="5">
        <f t="shared" si="420"/>
        <v>0.5</v>
      </c>
      <c r="AJ1253" s="5">
        <f t="shared" si="421"/>
        <v>0.33985102420856611</v>
      </c>
      <c r="AK1253" s="5">
        <f t="shared" si="422"/>
        <v>1.3594040968342644</v>
      </c>
      <c r="AL1253" s="5">
        <f t="shared" si="423"/>
        <v>1.3594040968342644</v>
      </c>
      <c r="AM1253" s="5">
        <f t="shared" si="424"/>
        <v>0</v>
      </c>
      <c r="AN1253" s="5">
        <f t="shared" si="425"/>
        <v>1.3594040968342644</v>
      </c>
      <c r="AO1253" s="1" t="s">
        <v>102</v>
      </c>
    </row>
    <row r="1254" spans="1:41" x14ac:dyDescent="0.25">
      <c r="A1254" s="1" t="s">
        <v>19</v>
      </c>
      <c r="B1254" s="1" t="s">
        <v>58</v>
      </c>
      <c r="C1254" s="1" t="s">
        <v>21</v>
      </c>
      <c r="D1254" s="1" t="s">
        <v>59</v>
      </c>
      <c r="E1254" s="1" t="s">
        <v>96</v>
      </c>
      <c r="F1254" s="1" t="s">
        <v>103</v>
      </c>
      <c r="G1254" s="1" t="s">
        <v>114</v>
      </c>
      <c r="H1254" s="1" t="s">
        <v>1154</v>
      </c>
      <c r="I1254" s="1" t="s">
        <v>100</v>
      </c>
      <c r="J1254" s="1" t="s">
        <v>101</v>
      </c>
      <c r="K1254" s="1" t="s">
        <v>116</v>
      </c>
      <c r="L1254" s="1">
        <v>2580748</v>
      </c>
      <c r="M1254" s="1" t="s">
        <v>1396</v>
      </c>
      <c r="N1254" s="8">
        <f>DATE(2019,1,28)</f>
        <v>43493</v>
      </c>
      <c r="O1254" s="8">
        <f>DATE(2021,12,20)</f>
        <v>44550</v>
      </c>
      <c r="P1254" s="1">
        <v>3390</v>
      </c>
      <c r="Q1254" s="1">
        <v>800</v>
      </c>
      <c r="R1254" s="1">
        <f t="shared" si="408"/>
        <v>3000</v>
      </c>
      <c r="S1254" s="1">
        <v>1.5</v>
      </c>
      <c r="U1254" s="1">
        <f t="shared" si="409"/>
        <v>1058</v>
      </c>
      <c r="V1254" s="7">
        <f t="shared" si="410"/>
        <v>2.8355387523629489</v>
      </c>
      <c r="W1254" s="7">
        <f t="shared" si="411"/>
        <v>1034.9716446124764</v>
      </c>
      <c r="X1254" s="7">
        <f t="shared" si="412"/>
        <v>1.2937145557655956</v>
      </c>
      <c r="AA1254" s="8">
        <f t="shared" si="413"/>
        <v>44927</v>
      </c>
      <c r="AB1254" s="8">
        <f t="shared" si="414"/>
        <v>45291</v>
      </c>
      <c r="AC1254" s="1">
        <v>1</v>
      </c>
      <c r="AD1254" s="1">
        <f t="shared" si="415"/>
        <v>0</v>
      </c>
      <c r="AE1254" s="1">
        <f t="shared" si="416"/>
        <v>0</v>
      </c>
      <c r="AF1254" s="1">
        <f t="shared" si="417"/>
        <v>0</v>
      </c>
      <c r="AG1254" s="1">
        <f t="shared" si="418"/>
        <v>0</v>
      </c>
      <c r="AH1254" s="1">
        <f t="shared" si="419"/>
        <v>182.5</v>
      </c>
      <c r="AI1254" s="5">
        <f t="shared" si="420"/>
        <v>0.5</v>
      </c>
      <c r="AJ1254" s="5">
        <f t="shared" si="421"/>
        <v>0.64685727788279779</v>
      </c>
      <c r="AK1254" s="5">
        <f t="shared" si="422"/>
        <v>0.32342863894139889</v>
      </c>
      <c r="AL1254" s="5">
        <f t="shared" si="423"/>
        <v>0.48514295841209831</v>
      </c>
      <c r="AM1254" s="5">
        <f t="shared" si="424"/>
        <v>0</v>
      </c>
      <c r="AN1254" s="5">
        <f t="shared" si="425"/>
        <v>0.48514295841209831</v>
      </c>
      <c r="AO1254" s="1" t="s">
        <v>102</v>
      </c>
    </row>
    <row r="1255" spans="1:41" x14ac:dyDescent="0.25">
      <c r="A1255" s="1" t="s">
        <v>19</v>
      </c>
      <c r="B1255" s="1" t="s">
        <v>58</v>
      </c>
      <c r="C1255" s="1" t="s">
        <v>21</v>
      </c>
      <c r="D1255" s="1" t="s">
        <v>59</v>
      </c>
      <c r="E1255" s="1" t="s">
        <v>96</v>
      </c>
      <c r="F1255" s="1" t="s">
        <v>103</v>
      </c>
      <c r="G1255" s="1" t="s">
        <v>114</v>
      </c>
      <c r="H1255" s="1" t="s">
        <v>1390</v>
      </c>
      <c r="I1255" s="1" t="s">
        <v>331</v>
      </c>
      <c r="J1255" s="1" t="s">
        <v>101</v>
      </c>
      <c r="K1255" s="1" t="s">
        <v>116</v>
      </c>
      <c r="L1255" s="1">
        <v>2580789</v>
      </c>
      <c r="M1255" s="1" t="s">
        <v>1397</v>
      </c>
      <c r="N1255" s="8">
        <f>DATE(2019,1,28)</f>
        <v>43493</v>
      </c>
      <c r="O1255" s="8">
        <f>DATE(2021,12,20)</f>
        <v>44550</v>
      </c>
      <c r="P1255" s="1">
        <v>3821</v>
      </c>
      <c r="Q1255" s="1">
        <v>1200</v>
      </c>
      <c r="R1255" s="1">
        <f t="shared" si="408"/>
        <v>3200</v>
      </c>
      <c r="S1255" s="1">
        <v>2</v>
      </c>
      <c r="U1255" s="1">
        <f t="shared" si="409"/>
        <v>1058</v>
      </c>
      <c r="V1255" s="7">
        <f t="shared" si="410"/>
        <v>3.0245746691871456</v>
      </c>
      <c r="W1255" s="7">
        <f t="shared" si="411"/>
        <v>1103.9697542533081</v>
      </c>
      <c r="X1255" s="7">
        <f t="shared" si="412"/>
        <v>1.3799621928166352</v>
      </c>
      <c r="AA1255" s="8">
        <f t="shared" si="413"/>
        <v>44927</v>
      </c>
      <c r="AB1255" s="8">
        <f t="shared" si="414"/>
        <v>45291</v>
      </c>
      <c r="AC1255" s="1">
        <v>2</v>
      </c>
      <c r="AD1255" s="1">
        <f t="shared" si="415"/>
        <v>0</v>
      </c>
      <c r="AE1255" s="1">
        <f t="shared" si="416"/>
        <v>0</v>
      </c>
      <c r="AF1255" s="1">
        <f t="shared" si="417"/>
        <v>0</v>
      </c>
      <c r="AG1255" s="1">
        <f t="shared" si="418"/>
        <v>0</v>
      </c>
      <c r="AH1255" s="1">
        <f t="shared" si="419"/>
        <v>182.5</v>
      </c>
      <c r="AI1255" s="5">
        <f t="shared" si="420"/>
        <v>0.5</v>
      </c>
      <c r="AJ1255" s="5">
        <f t="shared" si="421"/>
        <v>0.68998109640831762</v>
      </c>
      <c r="AK1255" s="5">
        <f t="shared" si="422"/>
        <v>0.68998109640831762</v>
      </c>
      <c r="AL1255" s="5">
        <f t="shared" si="423"/>
        <v>1.3799621928166352</v>
      </c>
      <c r="AM1255" s="5">
        <f t="shared" si="424"/>
        <v>0</v>
      </c>
      <c r="AN1255" s="5">
        <f t="shared" si="425"/>
        <v>1.3799621928166352</v>
      </c>
      <c r="AO1255" s="1" t="s">
        <v>102</v>
      </c>
    </row>
    <row r="1256" spans="1:41" x14ac:dyDescent="0.25">
      <c r="A1256" s="1" t="s">
        <v>19</v>
      </c>
      <c r="B1256" s="1" t="s">
        <v>58</v>
      </c>
      <c r="C1256" s="1" t="s">
        <v>21</v>
      </c>
      <c r="D1256" s="1" t="s">
        <v>59</v>
      </c>
      <c r="E1256" s="1" t="s">
        <v>96</v>
      </c>
      <c r="F1256" s="1" t="s">
        <v>103</v>
      </c>
      <c r="G1256" s="1" t="s">
        <v>127</v>
      </c>
      <c r="H1256" s="1" t="s">
        <v>251</v>
      </c>
      <c r="I1256" s="1" t="s">
        <v>100</v>
      </c>
      <c r="J1256" s="1" t="s">
        <v>101</v>
      </c>
      <c r="L1256" s="1">
        <v>2580800</v>
      </c>
      <c r="M1256" s="1" t="s">
        <v>1398</v>
      </c>
      <c r="N1256" s="8">
        <f>DATE(2019,1,29)</f>
        <v>43494</v>
      </c>
      <c r="O1256" s="8">
        <f>DATE(2021,12,20)</f>
        <v>44550</v>
      </c>
      <c r="P1256" s="1">
        <v>2058</v>
      </c>
      <c r="Q1256" s="1">
        <v>1600</v>
      </c>
      <c r="R1256" s="1">
        <f t="shared" si="408"/>
        <v>1600</v>
      </c>
      <c r="S1256" s="1">
        <v>1</v>
      </c>
      <c r="U1256" s="1">
        <f t="shared" si="409"/>
        <v>1057</v>
      </c>
      <c r="V1256" s="7">
        <f t="shared" si="410"/>
        <v>1.5137180700094608</v>
      </c>
      <c r="W1256" s="7">
        <f t="shared" si="411"/>
        <v>552.50709555345315</v>
      </c>
      <c r="X1256" s="7">
        <f t="shared" si="412"/>
        <v>0.69063386944181648</v>
      </c>
      <c r="AA1256" s="8">
        <f t="shared" si="413"/>
        <v>44927</v>
      </c>
      <c r="AB1256" s="8">
        <f t="shared" si="414"/>
        <v>45291</v>
      </c>
      <c r="AC1256" s="1">
        <v>10</v>
      </c>
      <c r="AD1256" s="1">
        <f t="shared" si="415"/>
        <v>0</v>
      </c>
      <c r="AE1256" s="1">
        <f t="shared" si="416"/>
        <v>0</v>
      </c>
      <c r="AF1256" s="1">
        <f t="shared" si="417"/>
        <v>0</v>
      </c>
      <c r="AG1256" s="1">
        <f t="shared" si="418"/>
        <v>0</v>
      </c>
      <c r="AH1256" s="1">
        <f t="shared" si="419"/>
        <v>182.5</v>
      </c>
      <c r="AI1256" s="5">
        <f t="shared" si="420"/>
        <v>0.5</v>
      </c>
      <c r="AJ1256" s="5">
        <f t="shared" si="421"/>
        <v>0.34531693472090824</v>
      </c>
      <c r="AK1256" s="5">
        <f t="shared" si="422"/>
        <v>1.7265846736045412</v>
      </c>
      <c r="AL1256" s="5">
        <f t="shared" si="423"/>
        <v>1.7265846736045412</v>
      </c>
      <c r="AM1256" s="5">
        <f t="shared" si="424"/>
        <v>0</v>
      </c>
      <c r="AN1256" s="5">
        <f t="shared" si="425"/>
        <v>1.7265846736045412</v>
      </c>
      <c r="AO1256" s="1" t="s">
        <v>102</v>
      </c>
    </row>
    <row r="1257" spans="1:41" x14ac:dyDescent="0.25">
      <c r="A1257" s="1" t="s">
        <v>19</v>
      </c>
      <c r="B1257" s="1" t="s">
        <v>58</v>
      </c>
      <c r="C1257" s="1" t="s">
        <v>21</v>
      </c>
      <c r="D1257" s="1" t="s">
        <v>59</v>
      </c>
      <c r="E1257" s="1" t="s">
        <v>172</v>
      </c>
      <c r="F1257" s="1" t="s">
        <v>534</v>
      </c>
      <c r="G1257" s="1" t="s">
        <v>185</v>
      </c>
      <c r="H1257" s="1" t="s">
        <v>493</v>
      </c>
      <c r="I1257" s="1" t="s">
        <v>174</v>
      </c>
      <c r="J1257" s="1" t="s">
        <v>101</v>
      </c>
      <c r="L1257" s="1">
        <v>2636065</v>
      </c>
      <c r="M1257" s="1" t="s">
        <v>1399</v>
      </c>
      <c r="N1257" s="8">
        <f>DATE(2019,7,12)</f>
        <v>43658</v>
      </c>
      <c r="O1257" s="8">
        <f>DATE(2021,7,12)</f>
        <v>44389</v>
      </c>
      <c r="P1257" s="1">
        <v>555</v>
      </c>
      <c r="Q1257" s="1">
        <v>360</v>
      </c>
      <c r="R1257" s="1">
        <f t="shared" si="408"/>
        <v>360</v>
      </c>
      <c r="S1257" s="1">
        <v>2</v>
      </c>
      <c r="U1257" s="1">
        <f t="shared" si="409"/>
        <v>732</v>
      </c>
      <c r="V1257" s="7">
        <f t="shared" si="410"/>
        <v>0.49180327868852458</v>
      </c>
      <c r="W1257" s="7">
        <f t="shared" si="411"/>
        <v>179.50819672131146</v>
      </c>
      <c r="X1257" s="7">
        <f t="shared" si="412"/>
        <v>0.22438524590163933</v>
      </c>
      <c r="AA1257" s="8">
        <f t="shared" si="413"/>
        <v>44927</v>
      </c>
      <c r="AB1257" s="8">
        <f t="shared" si="414"/>
        <v>45291</v>
      </c>
      <c r="AC1257" s="1">
        <v>5</v>
      </c>
      <c r="AD1257" s="1">
        <f t="shared" si="415"/>
        <v>0</v>
      </c>
      <c r="AE1257" s="1">
        <f t="shared" si="416"/>
        <v>0</v>
      </c>
      <c r="AF1257" s="1">
        <f t="shared" si="417"/>
        <v>0</v>
      </c>
      <c r="AG1257" s="1">
        <f t="shared" si="418"/>
        <v>0</v>
      </c>
      <c r="AH1257" s="1">
        <f t="shared" si="419"/>
        <v>182.5</v>
      </c>
      <c r="AI1257" s="5">
        <f t="shared" si="420"/>
        <v>0.5</v>
      </c>
      <c r="AJ1257" s="5">
        <f t="shared" si="421"/>
        <v>0.11219262295081966</v>
      </c>
      <c r="AK1257" s="5">
        <f t="shared" si="422"/>
        <v>0.28048155737704916</v>
      </c>
      <c r="AL1257" s="5">
        <f t="shared" si="423"/>
        <v>0.56096311475409832</v>
      </c>
      <c r="AM1257" s="5">
        <f t="shared" si="424"/>
        <v>0</v>
      </c>
      <c r="AN1257" s="5">
        <f t="shared" si="425"/>
        <v>0.56096311475409832</v>
      </c>
      <c r="AO1257" s="1" t="s">
        <v>111</v>
      </c>
    </row>
    <row r="1258" spans="1:41" x14ac:dyDescent="0.25">
      <c r="A1258" s="1" t="s">
        <v>19</v>
      </c>
      <c r="B1258" s="1" t="s">
        <v>58</v>
      </c>
      <c r="C1258" s="1" t="s">
        <v>21</v>
      </c>
      <c r="D1258" s="1" t="s">
        <v>59</v>
      </c>
      <c r="E1258" s="1" t="s">
        <v>96</v>
      </c>
      <c r="F1258" s="1" t="s">
        <v>103</v>
      </c>
      <c r="G1258" s="1" t="s">
        <v>114</v>
      </c>
      <c r="H1258" s="1" t="s">
        <v>1390</v>
      </c>
      <c r="I1258" s="1" t="s">
        <v>331</v>
      </c>
      <c r="J1258" s="1" t="s">
        <v>101</v>
      </c>
      <c r="K1258" s="1" t="s">
        <v>116</v>
      </c>
      <c r="L1258" s="1">
        <v>2630998</v>
      </c>
      <c r="M1258" s="1" t="s">
        <v>1400</v>
      </c>
      <c r="N1258" s="8">
        <f>DATE(2019,7,23)</f>
        <v>43669</v>
      </c>
      <c r="O1258" s="8">
        <f>DATE(2022,7,7)</f>
        <v>44749</v>
      </c>
      <c r="P1258" s="1">
        <v>3821</v>
      </c>
      <c r="Q1258" s="1">
        <v>1200</v>
      </c>
      <c r="R1258" s="1">
        <f t="shared" si="408"/>
        <v>3200</v>
      </c>
      <c r="S1258" s="1">
        <v>2</v>
      </c>
      <c r="U1258" s="1">
        <f t="shared" si="409"/>
        <v>1081</v>
      </c>
      <c r="V1258" s="7">
        <f t="shared" si="410"/>
        <v>2.9602220166512487</v>
      </c>
      <c r="W1258" s="7">
        <f t="shared" si="411"/>
        <v>1080.4810360777058</v>
      </c>
      <c r="X1258" s="7">
        <f t="shared" si="412"/>
        <v>1.3506012950971322</v>
      </c>
      <c r="AA1258" s="8">
        <f t="shared" si="413"/>
        <v>44927</v>
      </c>
      <c r="AB1258" s="8">
        <f t="shared" si="414"/>
        <v>45291</v>
      </c>
      <c r="AC1258" s="1">
        <v>6</v>
      </c>
      <c r="AD1258" s="1">
        <f t="shared" si="415"/>
        <v>0</v>
      </c>
      <c r="AE1258" s="1">
        <f t="shared" si="416"/>
        <v>0</v>
      </c>
      <c r="AF1258" s="1">
        <f t="shared" si="417"/>
        <v>0</v>
      </c>
      <c r="AG1258" s="1">
        <f t="shared" si="418"/>
        <v>0</v>
      </c>
      <c r="AH1258" s="1">
        <f t="shared" si="419"/>
        <v>182.5</v>
      </c>
      <c r="AI1258" s="5">
        <f t="shared" si="420"/>
        <v>0.5</v>
      </c>
      <c r="AJ1258" s="5">
        <f t="shared" si="421"/>
        <v>0.67530064754856611</v>
      </c>
      <c r="AK1258" s="5">
        <f t="shared" si="422"/>
        <v>2.0259019426456986</v>
      </c>
      <c r="AL1258" s="5">
        <f t="shared" si="423"/>
        <v>4.0518038852913971</v>
      </c>
      <c r="AM1258" s="5">
        <f t="shared" si="424"/>
        <v>0</v>
      </c>
      <c r="AN1258" s="5">
        <f t="shared" si="425"/>
        <v>4.0518038852913971</v>
      </c>
      <c r="AO1258" s="1" t="s">
        <v>102</v>
      </c>
    </row>
    <row r="1259" spans="1:41" x14ac:dyDescent="0.25">
      <c r="A1259" s="1" t="s">
        <v>19</v>
      </c>
      <c r="B1259" s="1" t="s">
        <v>58</v>
      </c>
      <c r="C1259" s="1" t="s">
        <v>21</v>
      </c>
      <c r="D1259" s="1" t="s">
        <v>59</v>
      </c>
      <c r="E1259" s="1" t="s">
        <v>96</v>
      </c>
      <c r="F1259" s="1" t="s">
        <v>103</v>
      </c>
      <c r="G1259" s="1" t="s">
        <v>114</v>
      </c>
      <c r="H1259" s="1" t="s">
        <v>569</v>
      </c>
      <c r="I1259" s="1" t="s">
        <v>331</v>
      </c>
      <c r="J1259" s="1" t="s">
        <v>101</v>
      </c>
      <c r="K1259" s="1" t="s">
        <v>116</v>
      </c>
      <c r="L1259" s="1">
        <v>2631000</v>
      </c>
      <c r="M1259" s="1" t="s">
        <v>1401</v>
      </c>
      <c r="N1259" s="8">
        <f>DATE(2019,7,23)</f>
        <v>43669</v>
      </c>
      <c r="O1259" s="8">
        <f>DATE(2022,7,5)</f>
        <v>44747</v>
      </c>
      <c r="P1259" s="1">
        <v>3638</v>
      </c>
      <c r="Q1259" s="1">
        <v>1200</v>
      </c>
      <c r="R1259" s="1">
        <f t="shared" si="408"/>
        <v>3200</v>
      </c>
      <c r="S1259" s="1">
        <v>2.5</v>
      </c>
      <c r="U1259" s="1">
        <f t="shared" si="409"/>
        <v>1079</v>
      </c>
      <c r="V1259" s="7">
        <f t="shared" si="410"/>
        <v>2.9657089898053752</v>
      </c>
      <c r="W1259" s="7">
        <f t="shared" si="411"/>
        <v>1082.4837812789619</v>
      </c>
      <c r="X1259" s="7">
        <f t="shared" si="412"/>
        <v>1.3531047265987024</v>
      </c>
      <c r="AA1259" s="8">
        <f t="shared" si="413"/>
        <v>44927</v>
      </c>
      <c r="AB1259" s="8">
        <f t="shared" si="414"/>
        <v>45291</v>
      </c>
      <c r="AC1259" s="1">
        <v>3</v>
      </c>
      <c r="AD1259" s="1">
        <f t="shared" si="415"/>
        <v>0</v>
      </c>
      <c r="AE1259" s="1">
        <f t="shared" si="416"/>
        <v>0</v>
      </c>
      <c r="AF1259" s="1">
        <f t="shared" si="417"/>
        <v>0</v>
      </c>
      <c r="AG1259" s="1">
        <f t="shared" si="418"/>
        <v>0</v>
      </c>
      <c r="AH1259" s="1">
        <f t="shared" si="419"/>
        <v>182.5</v>
      </c>
      <c r="AI1259" s="5">
        <f t="shared" si="420"/>
        <v>0.5</v>
      </c>
      <c r="AJ1259" s="5">
        <f t="shared" si="421"/>
        <v>0.6765523632993512</v>
      </c>
      <c r="AK1259" s="5">
        <f t="shared" si="422"/>
        <v>1.0148285449490269</v>
      </c>
      <c r="AL1259" s="5">
        <f t="shared" si="423"/>
        <v>2.5370713623725671</v>
      </c>
      <c r="AM1259" s="5">
        <f t="shared" si="424"/>
        <v>0</v>
      </c>
      <c r="AN1259" s="5">
        <f t="shared" si="425"/>
        <v>2.5370713623725671</v>
      </c>
      <c r="AO1259" s="1" t="s">
        <v>102</v>
      </c>
    </row>
    <row r="1260" spans="1:41" x14ac:dyDescent="0.25">
      <c r="A1260" s="1" t="s">
        <v>19</v>
      </c>
      <c r="B1260" s="1" t="s">
        <v>58</v>
      </c>
      <c r="C1260" s="1" t="s">
        <v>21</v>
      </c>
      <c r="D1260" s="1" t="s">
        <v>59</v>
      </c>
      <c r="E1260" s="1" t="s">
        <v>96</v>
      </c>
      <c r="F1260" s="1" t="s">
        <v>103</v>
      </c>
      <c r="G1260" s="1" t="s">
        <v>114</v>
      </c>
      <c r="H1260" s="1" t="s">
        <v>1154</v>
      </c>
      <c r="I1260" s="1" t="s">
        <v>100</v>
      </c>
      <c r="J1260" s="1" t="s">
        <v>101</v>
      </c>
      <c r="K1260" s="1" t="s">
        <v>116</v>
      </c>
      <c r="L1260" s="1">
        <v>2631002</v>
      </c>
      <c r="M1260" s="1" t="s">
        <v>1402</v>
      </c>
      <c r="N1260" s="8">
        <f>DATE(2019,7,23)</f>
        <v>43669</v>
      </c>
      <c r="O1260" s="8">
        <f>DATE(2022,7,5)</f>
        <v>44747</v>
      </c>
      <c r="P1260" s="1">
        <v>3390</v>
      </c>
      <c r="Q1260" s="1">
        <v>800</v>
      </c>
      <c r="R1260" s="1">
        <f t="shared" si="408"/>
        <v>3000</v>
      </c>
      <c r="S1260" s="1">
        <v>1.5</v>
      </c>
      <c r="U1260" s="1">
        <f t="shared" si="409"/>
        <v>1079</v>
      </c>
      <c r="V1260" s="7">
        <f t="shared" si="410"/>
        <v>2.7803521779425395</v>
      </c>
      <c r="W1260" s="7">
        <f t="shared" si="411"/>
        <v>1014.8285449490269</v>
      </c>
      <c r="X1260" s="7">
        <f t="shared" si="412"/>
        <v>1.2685356811862836</v>
      </c>
      <c r="AA1260" s="8">
        <f t="shared" si="413"/>
        <v>44927</v>
      </c>
      <c r="AB1260" s="8">
        <f t="shared" si="414"/>
        <v>45291</v>
      </c>
      <c r="AC1260" s="1">
        <v>1</v>
      </c>
      <c r="AD1260" s="1">
        <f t="shared" si="415"/>
        <v>0</v>
      </c>
      <c r="AE1260" s="1">
        <f t="shared" si="416"/>
        <v>0</v>
      </c>
      <c r="AF1260" s="1">
        <f t="shared" si="417"/>
        <v>0</v>
      </c>
      <c r="AG1260" s="1">
        <f t="shared" si="418"/>
        <v>0</v>
      </c>
      <c r="AH1260" s="1">
        <f t="shared" si="419"/>
        <v>182.5</v>
      </c>
      <c r="AI1260" s="5">
        <f t="shared" si="420"/>
        <v>0.5</v>
      </c>
      <c r="AJ1260" s="5">
        <f t="shared" si="421"/>
        <v>0.63426784059314179</v>
      </c>
      <c r="AK1260" s="5">
        <f t="shared" si="422"/>
        <v>0.31713392029657089</v>
      </c>
      <c r="AL1260" s="5">
        <f t="shared" si="423"/>
        <v>0.47570088044485637</v>
      </c>
      <c r="AM1260" s="5">
        <f t="shared" si="424"/>
        <v>0</v>
      </c>
      <c r="AN1260" s="5">
        <f t="shared" si="425"/>
        <v>0.47570088044485637</v>
      </c>
      <c r="AO1260" s="1" t="s">
        <v>102</v>
      </c>
    </row>
    <row r="1261" spans="1:41" x14ac:dyDescent="0.25">
      <c r="A1261" s="1" t="s">
        <v>19</v>
      </c>
      <c r="B1261" s="1" t="s">
        <v>58</v>
      </c>
      <c r="C1261" s="1" t="s">
        <v>21</v>
      </c>
      <c r="D1261" s="1" t="s">
        <v>59</v>
      </c>
      <c r="E1261" s="1" t="s">
        <v>96</v>
      </c>
      <c r="F1261" s="1" t="s">
        <v>103</v>
      </c>
      <c r="G1261" s="1" t="s">
        <v>127</v>
      </c>
      <c r="H1261" s="1" t="s">
        <v>251</v>
      </c>
      <c r="I1261" s="1" t="s">
        <v>100</v>
      </c>
      <c r="J1261" s="1" t="s">
        <v>101</v>
      </c>
      <c r="L1261" s="1">
        <v>2631012</v>
      </c>
      <c r="M1261" s="1" t="s">
        <v>1403</v>
      </c>
      <c r="N1261" s="8">
        <f>DATE(2019,7,23)</f>
        <v>43669</v>
      </c>
      <c r="O1261" s="8">
        <f>DATE(2022,7,5)</f>
        <v>44747</v>
      </c>
      <c r="P1261" s="1">
        <v>2058</v>
      </c>
      <c r="Q1261" s="1">
        <v>1600</v>
      </c>
      <c r="R1261" s="1">
        <f t="shared" si="408"/>
        <v>1600</v>
      </c>
      <c r="S1261" s="1">
        <v>1</v>
      </c>
      <c r="U1261" s="1">
        <f t="shared" si="409"/>
        <v>1079</v>
      </c>
      <c r="V1261" s="7">
        <f t="shared" si="410"/>
        <v>1.4828544949026876</v>
      </c>
      <c r="W1261" s="7">
        <f t="shared" si="411"/>
        <v>541.24189063948097</v>
      </c>
      <c r="X1261" s="7">
        <f t="shared" si="412"/>
        <v>0.6765523632993512</v>
      </c>
      <c r="AA1261" s="8">
        <f t="shared" si="413"/>
        <v>44927</v>
      </c>
      <c r="AB1261" s="8">
        <f t="shared" si="414"/>
        <v>45291</v>
      </c>
      <c r="AC1261" s="1">
        <v>5</v>
      </c>
      <c r="AD1261" s="1">
        <f t="shared" si="415"/>
        <v>0</v>
      </c>
      <c r="AE1261" s="1">
        <f t="shared" si="416"/>
        <v>0</v>
      </c>
      <c r="AF1261" s="1">
        <f t="shared" si="417"/>
        <v>0</v>
      </c>
      <c r="AG1261" s="1">
        <f t="shared" si="418"/>
        <v>0</v>
      </c>
      <c r="AH1261" s="1">
        <f t="shared" si="419"/>
        <v>182.5</v>
      </c>
      <c r="AI1261" s="5">
        <f t="shared" si="420"/>
        <v>0.5</v>
      </c>
      <c r="AJ1261" s="5">
        <f t="shared" si="421"/>
        <v>0.3382761816496756</v>
      </c>
      <c r="AK1261" s="5">
        <f t="shared" si="422"/>
        <v>0.84569045412418897</v>
      </c>
      <c r="AL1261" s="5">
        <f t="shared" si="423"/>
        <v>0.84569045412418897</v>
      </c>
      <c r="AM1261" s="5">
        <f t="shared" si="424"/>
        <v>0</v>
      </c>
      <c r="AN1261" s="5">
        <f t="shared" si="425"/>
        <v>0.84569045412418897</v>
      </c>
      <c r="AO1261" s="1" t="s">
        <v>102</v>
      </c>
    </row>
    <row r="1262" spans="1:41" x14ac:dyDescent="0.25">
      <c r="A1262" s="1" t="s">
        <v>19</v>
      </c>
      <c r="B1262" s="1" t="s">
        <v>58</v>
      </c>
      <c r="C1262" s="1" t="s">
        <v>21</v>
      </c>
      <c r="D1262" s="1" t="s">
        <v>59</v>
      </c>
      <c r="E1262" s="1" t="s">
        <v>96</v>
      </c>
      <c r="F1262" s="1" t="s">
        <v>103</v>
      </c>
      <c r="G1262" s="1" t="s">
        <v>114</v>
      </c>
      <c r="H1262" s="1" t="s">
        <v>1390</v>
      </c>
      <c r="I1262" s="1" t="s">
        <v>331</v>
      </c>
      <c r="J1262" s="1" t="s">
        <v>101</v>
      </c>
      <c r="K1262" s="1" t="s">
        <v>116</v>
      </c>
      <c r="L1262" s="1">
        <v>2677313</v>
      </c>
      <c r="M1262" s="1" t="s">
        <v>1404</v>
      </c>
      <c r="N1262" s="8">
        <f>DATE(2020,2,3)</f>
        <v>43864</v>
      </c>
      <c r="O1262" s="8">
        <f>DATE(2022,12,30)</f>
        <v>44925</v>
      </c>
      <c r="P1262" s="1">
        <v>3821</v>
      </c>
      <c r="Q1262" s="1">
        <v>1200</v>
      </c>
      <c r="R1262" s="1">
        <f t="shared" si="408"/>
        <v>3200</v>
      </c>
      <c r="S1262" s="1">
        <v>2</v>
      </c>
      <c r="U1262" s="1">
        <f t="shared" si="409"/>
        <v>1062</v>
      </c>
      <c r="V1262" s="7">
        <f t="shared" si="410"/>
        <v>3.0131826741996233</v>
      </c>
      <c r="W1262" s="7">
        <f t="shared" si="411"/>
        <v>1099.8116760828625</v>
      </c>
      <c r="X1262" s="7">
        <f t="shared" si="412"/>
        <v>1.3747645951035781</v>
      </c>
      <c r="AA1262" s="8">
        <f t="shared" si="413"/>
        <v>44927</v>
      </c>
      <c r="AB1262" s="8">
        <f t="shared" si="414"/>
        <v>45291</v>
      </c>
      <c r="AC1262" s="1">
        <v>8</v>
      </c>
      <c r="AD1262" s="1">
        <f t="shared" si="415"/>
        <v>0</v>
      </c>
      <c r="AE1262" s="1">
        <f t="shared" si="416"/>
        <v>0</v>
      </c>
      <c r="AF1262" s="1">
        <f t="shared" si="417"/>
        <v>0</v>
      </c>
      <c r="AG1262" s="1">
        <f t="shared" si="418"/>
        <v>0</v>
      </c>
      <c r="AH1262" s="1">
        <f t="shared" si="419"/>
        <v>182.5</v>
      </c>
      <c r="AI1262" s="5">
        <f t="shared" si="420"/>
        <v>0.5</v>
      </c>
      <c r="AJ1262" s="5">
        <f t="shared" si="421"/>
        <v>0.68738229755178903</v>
      </c>
      <c r="AK1262" s="5">
        <f t="shared" si="422"/>
        <v>2.7495291902071561</v>
      </c>
      <c r="AL1262" s="5">
        <f t="shared" si="423"/>
        <v>5.4990583804143123</v>
      </c>
      <c r="AM1262" s="5">
        <f t="shared" si="424"/>
        <v>0</v>
      </c>
      <c r="AN1262" s="5">
        <f t="shared" si="425"/>
        <v>5.4990583804143123</v>
      </c>
      <c r="AO1262" s="1" t="s">
        <v>102</v>
      </c>
    </row>
    <row r="1263" spans="1:41" x14ac:dyDescent="0.25">
      <c r="A1263" s="1" t="s">
        <v>19</v>
      </c>
      <c r="B1263" s="1" t="s">
        <v>58</v>
      </c>
      <c r="C1263" s="1" t="s">
        <v>21</v>
      </c>
      <c r="D1263" s="1" t="s">
        <v>59</v>
      </c>
      <c r="E1263" s="1" t="s">
        <v>96</v>
      </c>
      <c r="F1263" s="1" t="s">
        <v>103</v>
      </c>
      <c r="G1263" s="1" t="s">
        <v>114</v>
      </c>
      <c r="H1263" s="1" t="s">
        <v>569</v>
      </c>
      <c r="I1263" s="1" t="s">
        <v>331</v>
      </c>
      <c r="J1263" s="1" t="s">
        <v>101</v>
      </c>
      <c r="K1263" s="1" t="s">
        <v>116</v>
      </c>
      <c r="L1263" s="1">
        <v>2677314</v>
      </c>
      <c r="M1263" s="1" t="s">
        <v>1405</v>
      </c>
      <c r="N1263" s="8">
        <f>DATE(2020,2,3)</f>
        <v>43864</v>
      </c>
      <c r="O1263" s="8">
        <f>DATE(2022,12,30)</f>
        <v>44925</v>
      </c>
      <c r="P1263" s="1">
        <v>3638</v>
      </c>
      <c r="Q1263" s="1">
        <v>1200</v>
      </c>
      <c r="R1263" s="1">
        <f t="shared" si="408"/>
        <v>3200</v>
      </c>
      <c r="S1263" s="1">
        <v>2.5</v>
      </c>
      <c r="U1263" s="1">
        <f t="shared" si="409"/>
        <v>1062</v>
      </c>
      <c r="V1263" s="7">
        <f t="shared" si="410"/>
        <v>3.0131826741996233</v>
      </c>
      <c r="W1263" s="7">
        <f t="shared" si="411"/>
        <v>1099.8116760828625</v>
      </c>
      <c r="X1263" s="7">
        <f t="shared" si="412"/>
        <v>1.3747645951035781</v>
      </c>
      <c r="AA1263" s="8">
        <f t="shared" si="413"/>
        <v>44927</v>
      </c>
      <c r="AB1263" s="8">
        <f t="shared" si="414"/>
        <v>45291</v>
      </c>
      <c r="AC1263" s="1">
        <v>9</v>
      </c>
      <c r="AD1263" s="1">
        <f t="shared" si="415"/>
        <v>0</v>
      </c>
      <c r="AE1263" s="1">
        <f t="shared" si="416"/>
        <v>0</v>
      </c>
      <c r="AF1263" s="1">
        <f t="shared" si="417"/>
        <v>0</v>
      </c>
      <c r="AG1263" s="1">
        <f t="shared" si="418"/>
        <v>0</v>
      </c>
      <c r="AH1263" s="1">
        <f t="shared" si="419"/>
        <v>182.5</v>
      </c>
      <c r="AI1263" s="5">
        <f t="shared" si="420"/>
        <v>0.5</v>
      </c>
      <c r="AJ1263" s="5">
        <f t="shared" si="421"/>
        <v>0.68738229755178903</v>
      </c>
      <c r="AK1263" s="5">
        <f t="shared" si="422"/>
        <v>3.0932203389830506</v>
      </c>
      <c r="AL1263" s="5">
        <f t="shared" si="423"/>
        <v>7.7330508474576263</v>
      </c>
      <c r="AM1263" s="5">
        <f t="shared" si="424"/>
        <v>0</v>
      </c>
      <c r="AN1263" s="5">
        <f t="shared" si="425"/>
        <v>7.7330508474576263</v>
      </c>
      <c r="AO1263" s="1" t="s">
        <v>102</v>
      </c>
    </row>
    <row r="1264" spans="1:41" x14ac:dyDescent="0.25">
      <c r="A1264" s="1" t="s">
        <v>19</v>
      </c>
      <c r="B1264" s="1" t="s">
        <v>58</v>
      </c>
      <c r="C1264" s="1" t="s">
        <v>21</v>
      </c>
      <c r="D1264" s="1" t="s">
        <v>59</v>
      </c>
      <c r="E1264" s="1" t="s">
        <v>96</v>
      </c>
      <c r="F1264" s="1" t="s">
        <v>103</v>
      </c>
      <c r="G1264" s="1" t="s">
        <v>114</v>
      </c>
      <c r="H1264" s="1" t="s">
        <v>1154</v>
      </c>
      <c r="I1264" s="1" t="s">
        <v>100</v>
      </c>
      <c r="J1264" s="1" t="s">
        <v>101</v>
      </c>
      <c r="K1264" s="1" t="s">
        <v>116</v>
      </c>
      <c r="L1264" s="1">
        <v>2677315</v>
      </c>
      <c r="M1264" s="1" t="s">
        <v>1406</v>
      </c>
      <c r="N1264" s="8">
        <f>DATE(2020,2,3)</f>
        <v>43864</v>
      </c>
      <c r="O1264" s="8">
        <f>DATE(2022,12,30)</f>
        <v>44925</v>
      </c>
      <c r="P1264" s="1">
        <v>3390</v>
      </c>
      <c r="Q1264" s="1">
        <v>800</v>
      </c>
      <c r="R1264" s="1">
        <f t="shared" si="408"/>
        <v>3000</v>
      </c>
      <c r="S1264" s="1">
        <v>1.5</v>
      </c>
      <c r="U1264" s="1">
        <f t="shared" si="409"/>
        <v>1062</v>
      </c>
      <c r="V1264" s="7">
        <f t="shared" si="410"/>
        <v>2.8248587570621471</v>
      </c>
      <c r="W1264" s="7">
        <f t="shared" si="411"/>
        <v>1031.0734463276838</v>
      </c>
      <c r="X1264" s="7">
        <f t="shared" si="412"/>
        <v>1.2888418079096047</v>
      </c>
      <c r="AA1264" s="8">
        <f t="shared" si="413"/>
        <v>44927</v>
      </c>
      <c r="AB1264" s="8">
        <f t="shared" si="414"/>
        <v>45291</v>
      </c>
      <c r="AC1264" s="1">
        <v>9</v>
      </c>
      <c r="AD1264" s="1">
        <f t="shared" si="415"/>
        <v>0</v>
      </c>
      <c r="AE1264" s="1">
        <f t="shared" si="416"/>
        <v>0</v>
      </c>
      <c r="AF1264" s="1">
        <f t="shared" si="417"/>
        <v>0</v>
      </c>
      <c r="AG1264" s="1">
        <f t="shared" si="418"/>
        <v>0</v>
      </c>
      <c r="AH1264" s="1">
        <f t="shared" si="419"/>
        <v>182.5</v>
      </c>
      <c r="AI1264" s="5">
        <f t="shared" si="420"/>
        <v>0.5</v>
      </c>
      <c r="AJ1264" s="5">
        <f t="shared" si="421"/>
        <v>0.64442090395480234</v>
      </c>
      <c r="AK1264" s="5">
        <f t="shared" si="422"/>
        <v>2.8998940677966107</v>
      </c>
      <c r="AL1264" s="5">
        <f t="shared" si="423"/>
        <v>4.3498411016949161</v>
      </c>
      <c r="AM1264" s="5">
        <f t="shared" si="424"/>
        <v>0</v>
      </c>
      <c r="AN1264" s="5">
        <f t="shared" si="425"/>
        <v>4.3498411016949161</v>
      </c>
      <c r="AO1264" s="1" t="s">
        <v>102</v>
      </c>
    </row>
    <row r="1265" spans="1:41" x14ac:dyDescent="0.25">
      <c r="A1265" s="1" t="s">
        <v>19</v>
      </c>
      <c r="B1265" s="1" t="s">
        <v>58</v>
      </c>
      <c r="C1265" s="1" t="s">
        <v>21</v>
      </c>
      <c r="D1265" s="1" t="s">
        <v>59</v>
      </c>
      <c r="E1265" s="1" t="s">
        <v>96</v>
      </c>
      <c r="F1265" s="1" t="s">
        <v>103</v>
      </c>
      <c r="G1265" s="1" t="s">
        <v>127</v>
      </c>
      <c r="H1265" s="1" t="s">
        <v>251</v>
      </c>
      <c r="I1265" s="1" t="s">
        <v>100</v>
      </c>
      <c r="J1265" s="1" t="s">
        <v>101</v>
      </c>
      <c r="L1265" s="1">
        <v>2677330</v>
      </c>
      <c r="M1265" s="1" t="s">
        <v>274</v>
      </c>
      <c r="N1265" s="8">
        <f>DATE(2020,2,3)</f>
        <v>43864</v>
      </c>
      <c r="O1265" s="8">
        <f>DATE(2022,12,30)</f>
        <v>44925</v>
      </c>
      <c r="P1265" s="1">
        <v>2058</v>
      </c>
      <c r="Q1265" s="1">
        <v>1600</v>
      </c>
      <c r="R1265" s="1">
        <f t="shared" si="408"/>
        <v>1600</v>
      </c>
      <c r="S1265" s="1">
        <v>1</v>
      </c>
      <c r="U1265" s="1">
        <f t="shared" si="409"/>
        <v>1062</v>
      </c>
      <c r="V1265" s="7">
        <f t="shared" si="410"/>
        <v>1.5065913370998116</v>
      </c>
      <c r="W1265" s="7">
        <f t="shared" si="411"/>
        <v>549.90583804143125</v>
      </c>
      <c r="X1265" s="7">
        <f t="shared" si="412"/>
        <v>0.68738229755178903</v>
      </c>
      <c r="AA1265" s="8">
        <f t="shared" si="413"/>
        <v>44927</v>
      </c>
      <c r="AB1265" s="8">
        <f t="shared" si="414"/>
        <v>45291</v>
      </c>
      <c r="AC1265" s="1">
        <v>9</v>
      </c>
      <c r="AD1265" s="1">
        <f t="shared" si="415"/>
        <v>0</v>
      </c>
      <c r="AE1265" s="1">
        <f t="shared" si="416"/>
        <v>0</v>
      </c>
      <c r="AF1265" s="1">
        <f t="shared" si="417"/>
        <v>0</v>
      </c>
      <c r="AG1265" s="1">
        <f t="shared" si="418"/>
        <v>0</v>
      </c>
      <c r="AH1265" s="1">
        <f t="shared" si="419"/>
        <v>182.5</v>
      </c>
      <c r="AI1265" s="5">
        <f t="shared" si="420"/>
        <v>0.5</v>
      </c>
      <c r="AJ1265" s="5">
        <f t="shared" si="421"/>
        <v>0.34369114877589452</v>
      </c>
      <c r="AK1265" s="5">
        <f t="shared" si="422"/>
        <v>1.5466101694915253</v>
      </c>
      <c r="AL1265" s="5">
        <f t="shared" si="423"/>
        <v>1.5466101694915253</v>
      </c>
      <c r="AM1265" s="5">
        <f t="shared" si="424"/>
        <v>0</v>
      </c>
      <c r="AN1265" s="5">
        <f t="shared" si="425"/>
        <v>1.5466101694915253</v>
      </c>
      <c r="AO1265" s="1" t="s">
        <v>102</v>
      </c>
    </row>
    <row r="1266" spans="1:41" x14ac:dyDescent="0.25">
      <c r="A1266" s="1" t="s">
        <v>19</v>
      </c>
      <c r="B1266" s="1" t="s">
        <v>58</v>
      </c>
      <c r="C1266" s="1" t="s">
        <v>21</v>
      </c>
      <c r="D1266" s="1" t="s">
        <v>59</v>
      </c>
      <c r="E1266" s="1" t="s">
        <v>96</v>
      </c>
      <c r="F1266" s="1" t="s">
        <v>103</v>
      </c>
      <c r="G1266" s="1" t="s">
        <v>114</v>
      </c>
      <c r="H1266" s="1" t="s">
        <v>1390</v>
      </c>
      <c r="I1266" s="1" t="s">
        <v>331</v>
      </c>
      <c r="J1266" s="1" t="s">
        <v>101</v>
      </c>
      <c r="K1266" s="1" t="s">
        <v>116</v>
      </c>
      <c r="L1266" s="1">
        <v>2728226</v>
      </c>
      <c r="M1266" s="1" t="s">
        <v>1407</v>
      </c>
      <c r="N1266" s="8">
        <f>DATE(2020,10,26)</f>
        <v>44130</v>
      </c>
      <c r="O1266" s="8">
        <f>DATE(2023,8,20)</f>
        <v>45158</v>
      </c>
      <c r="P1266" s="1">
        <v>3821</v>
      </c>
      <c r="Q1266" s="1">
        <v>1200</v>
      </c>
      <c r="R1266" s="1">
        <f t="shared" si="408"/>
        <v>3200</v>
      </c>
      <c r="S1266" s="1">
        <v>2</v>
      </c>
      <c r="U1266" s="1">
        <f t="shared" si="409"/>
        <v>1029</v>
      </c>
      <c r="V1266" s="7">
        <f t="shared" si="410"/>
        <v>3.1098153547133141</v>
      </c>
      <c r="W1266" s="7">
        <f t="shared" si="411"/>
        <v>1135.0826044703597</v>
      </c>
      <c r="X1266" s="7">
        <f t="shared" si="412"/>
        <v>1.4188532555879496</v>
      </c>
      <c r="AA1266" s="8">
        <f t="shared" si="413"/>
        <v>44927</v>
      </c>
      <c r="AB1266" s="8">
        <f t="shared" si="414"/>
        <v>45291</v>
      </c>
      <c r="AC1266" s="1">
        <v>24</v>
      </c>
      <c r="AD1266" s="1">
        <f t="shared" si="415"/>
        <v>0</v>
      </c>
      <c r="AE1266" s="1">
        <f t="shared" si="416"/>
        <v>0</v>
      </c>
      <c r="AF1266" s="1">
        <f t="shared" si="417"/>
        <v>232</v>
      </c>
      <c r="AG1266" s="1">
        <f t="shared" si="418"/>
        <v>0</v>
      </c>
      <c r="AH1266" s="1">
        <f t="shared" si="419"/>
        <v>0</v>
      </c>
      <c r="AI1266" s="5">
        <f t="shared" si="420"/>
        <v>0.63561643835616444</v>
      </c>
      <c r="AJ1266" s="5">
        <f t="shared" si="421"/>
        <v>0.90184645286686116</v>
      </c>
      <c r="AK1266" s="5">
        <f t="shared" si="422"/>
        <v>21.644314868804667</v>
      </c>
      <c r="AL1266" s="5">
        <f t="shared" si="423"/>
        <v>43.288629737609334</v>
      </c>
      <c r="AM1266" s="5">
        <f t="shared" si="424"/>
        <v>0</v>
      </c>
      <c r="AN1266" s="5">
        <f t="shared" si="425"/>
        <v>43.288629737609334</v>
      </c>
      <c r="AO1266" s="1" t="s">
        <v>102</v>
      </c>
    </row>
    <row r="1267" spans="1:41" x14ac:dyDescent="0.25">
      <c r="A1267" s="1" t="s">
        <v>19</v>
      </c>
      <c r="B1267" s="1" t="s">
        <v>58</v>
      </c>
      <c r="C1267" s="1" t="s">
        <v>21</v>
      </c>
      <c r="D1267" s="1" t="s">
        <v>59</v>
      </c>
      <c r="E1267" s="1" t="s">
        <v>96</v>
      </c>
      <c r="F1267" s="1" t="s">
        <v>103</v>
      </c>
      <c r="G1267" s="1" t="s">
        <v>114</v>
      </c>
      <c r="H1267" s="1" t="s">
        <v>569</v>
      </c>
      <c r="I1267" s="1" t="s">
        <v>331</v>
      </c>
      <c r="J1267" s="1" t="s">
        <v>101</v>
      </c>
      <c r="K1267" s="1" t="s">
        <v>116</v>
      </c>
      <c r="L1267" s="1">
        <v>2728229</v>
      </c>
      <c r="M1267" s="1" t="s">
        <v>1408</v>
      </c>
      <c r="N1267" s="8">
        <f>DATE(2020,10,26)</f>
        <v>44130</v>
      </c>
      <c r="O1267" s="8">
        <f>DATE(2023,8,28)</f>
        <v>45166</v>
      </c>
      <c r="P1267" s="1">
        <v>3638</v>
      </c>
      <c r="Q1267" s="1">
        <v>1200</v>
      </c>
      <c r="R1267" s="1">
        <f t="shared" si="408"/>
        <v>3200</v>
      </c>
      <c r="S1267" s="1">
        <v>2.5</v>
      </c>
      <c r="U1267" s="1">
        <f t="shared" si="409"/>
        <v>1037</v>
      </c>
      <c r="V1267" s="7">
        <f t="shared" si="410"/>
        <v>3.085824493731919</v>
      </c>
      <c r="W1267" s="7">
        <f t="shared" si="411"/>
        <v>1126.3259402121505</v>
      </c>
      <c r="X1267" s="7">
        <f t="shared" si="412"/>
        <v>1.4079074252651882</v>
      </c>
      <c r="AA1267" s="8">
        <f t="shared" si="413"/>
        <v>44927</v>
      </c>
      <c r="AB1267" s="8">
        <f t="shared" si="414"/>
        <v>45291</v>
      </c>
      <c r="AC1267" s="1">
        <v>22</v>
      </c>
      <c r="AD1267" s="1">
        <f t="shared" si="415"/>
        <v>0</v>
      </c>
      <c r="AE1267" s="1">
        <f t="shared" si="416"/>
        <v>0</v>
      </c>
      <c r="AF1267" s="1">
        <f t="shared" si="417"/>
        <v>240</v>
      </c>
      <c r="AG1267" s="1">
        <f t="shared" si="418"/>
        <v>0</v>
      </c>
      <c r="AH1267" s="1">
        <f t="shared" si="419"/>
        <v>0</v>
      </c>
      <c r="AI1267" s="5">
        <f t="shared" si="420"/>
        <v>0.65753424657534243</v>
      </c>
      <c r="AJ1267" s="5">
        <f t="shared" si="421"/>
        <v>0.92574734811957571</v>
      </c>
      <c r="AK1267" s="5">
        <f t="shared" si="422"/>
        <v>20.366441658630666</v>
      </c>
      <c r="AL1267" s="5">
        <f t="shared" si="423"/>
        <v>50.916104146576664</v>
      </c>
      <c r="AM1267" s="5">
        <f t="shared" si="424"/>
        <v>0</v>
      </c>
      <c r="AN1267" s="5">
        <f t="shared" si="425"/>
        <v>50.916104146576664</v>
      </c>
      <c r="AO1267" s="1" t="s">
        <v>102</v>
      </c>
    </row>
    <row r="1268" spans="1:41" x14ac:dyDescent="0.25">
      <c r="A1268" s="1" t="s">
        <v>19</v>
      </c>
      <c r="B1268" s="1" t="s">
        <v>58</v>
      </c>
      <c r="C1268" s="1" t="s">
        <v>21</v>
      </c>
      <c r="D1268" s="1" t="s">
        <v>59</v>
      </c>
      <c r="E1268" s="1" t="s">
        <v>96</v>
      </c>
      <c r="F1268" s="1" t="s">
        <v>103</v>
      </c>
      <c r="G1268" s="1" t="s">
        <v>114</v>
      </c>
      <c r="H1268" s="1" t="s">
        <v>1154</v>
      </c>
      <c r="I1268" s="1" t="s">
        <v>100</v>
      </c>
      <c r="J1268" s="1" t="s">
        <v>101</v>
      </c>
      <c r="K1268" s="1" t="s">
        <v>116</v>
      </c>
      <c r="L1268" s="1">
        <v>2728232</v>
      </c>
      <c r="M1268" s="1" t="s">
        <v>1409</v>
      </c>
      <c r="N1268" s="8">
        <f>DATE(2020,10,26)</f>
        <v>44130</v>
      </c>
      <c r="O1268" s="8">
        <f>DATE(2023,8,20)</f>
        <v>45158</v>
      </c>
      <c r="P1268" s="1">
        <v>3390</v>
      </c>
      <c r="Q1268" s="1">
        <v>800</v>
      </c>
      <c r="R1268" s="1">
        <f t="shared" si="408"/>
        <v>3000</v>
      </c>
      <c r="S1268" s="1">
        <v>1.5</v>
      </c>
      <c r="U1268" s="1">
        <f t="shared" si="409"/>
        <v>1029</v>
      </c>
      <c r="V1268" s="7">
        <f t="shared" si="410"/>
        <v>2.9154518950437316</v>
      </c>
      <c r="W1268" s="7">
        <f t="shared" si="411"/>
        <v>1064.1399416909621</v>
      </c>
      <c r="X1268" s="7">
        <f t="shared" si="412"/>
        <v>1.3301749271137027</v>
      </c>
      <c r="AA1268" s="8">
        <f t="shared" si="413"/>
        <v>44927</v>
      </c>
      <c r="AB1268" s="8">
        <f t="shared" si="414"/>
        <v>45291</v>
      </c>
      <c r="AC1268" s="1">
        <v>25</v>
      </c>
      <c r="AD1268" s="1">
        <f t="shared" si="415"/>
        <v>0</v>
      </c>
      <c r="AE1268" s="1">
        <f t="shared" si="416"/>
        <v>0</v>
      </c>
      <c r="AF1268" s="1">
        <f t="shared" si="417"/>
        <v>232</v>
      </c>
      <c r="AG1268" s="1">
        <f t="shared" si="418"/>
        <v>0</v>
      </c>
      <c r="AH1268" s="1">
        <f t="shared" si="419"/>
        <v>0</v>
      </c>
      <c r="AI1268" s="5">
        <f t="shared" si="420"/>
        <v>0.63561643835616444</v>
      </c>
      <c r="AJ1268" s="5">
        <f t="shared" si="421"/>
        <v>0.84548104956268233</v>
      </c>
      <c r="AK1268" s="5">
        <f t="shared" si="422"/>
        <v>21.137026239067058</v>
      </c>
      <c r="AL1268" s="5">
        <f t="shared" si="423"/>
        <v>31.705539358600589</v>
      </c>
      <c r="AM1268" s="5">
        <f t="shared" si="424"/>
        <v>0</v>
      </c>
      <c r="AN1268" s="5">
        <f t="shared" si="425"/>
        <v>31.705539358600589</v>
      </c>
      <c r="AO1268" s="1" t="s">
        <v>102</v>
      </c>
    </row>
    <row r="1269" spans="1:41" x14ac:dyDescent="0.25">
      <c r="A1269" s="1" t="s">
        <v>19</v>
      </c>
      <c r="B1269" s="1" t="s">
        <v>58</v>
      </c>
      <c r="C1269" s="1" t="s">
        <v>21</v>
      </c>
      <c r="D1269" s="1" t="s">
        <v>59</v>
      </c>
      <c r="E1269" s="1" t="s">
        <v>96</v>
      </c>
      <c r="F1269" s="1" t="s">
        <v>103</v>
      </c>
      <c r="G1269" s="1" t="s">
        <v>127</v>
      </c>
      <c r="H1269" s="1" t="s">
        <v>251</v>
      </c>
      <c r="I1269" s="1" t="s">
        <v>100</v>
      </c>
      <c r="J1269" s="1" t="s">
        <v>101</v>
      </c>
      <c r="L1269" s="1">
        <v>2728233</v>
      </c>
      <c r="M1269" s="1" t="s">
        <v>1410</v>
      </c>
      <c r="N1269" s="8">
        <f>DATE(2020,10,26)</f>
        <v>44130</v>
      </c>
      <c r="O1269" s="8">
        <f>DATE(2023,8,20)</f>
        <v>45158</v>
      </c>
      <c r="P1269" s="1">
        <v>2058</v>
      </c>
      <c r="Q1269" s="1">
        <v>1600</v>
      </c>
      <c r="R1269" s="1">
        <f t="shared" si="408"/>
        <v>1600</v>
      </c>
      <c r="S1269" s="1">
        <v>1</v>
      </c>
      <c r="U1269" s="1">
        <f t="shared" si="409"/>
        <v>1029</v>
      </c>
      <c r="V1269" s="7">
        <f t="shared" si="410"/>
        <v>1.554907677356657</v>
      </c>
      <c r="W1269" s="7">
        <f t="shared" si="411"/>
        <v>567.54130223517984</v>
      </c>
      <c r="X1269" s="7">
        <f t="shared" si="412"/>
        <v>0.70942662779397481</v>
      </c>
      <c r="AA1269" s="8">
        <f t="shared" si="413"/>
        <v>44927</v>
      </c>
      <c r="AB1269" s="8">
        <f t="shared" si="414"/>
        <v>45291</v>
      </c>
      <c r="AC1269" s="1">
        <v>12</v>
      </c>
      <c r="AD1269" s="1">
        <f t="shared" si="415"/>
        <v>0</v>
      </c>
      <c r="AE1269" s="1">
        <f t="shared" si="416"/>
        <v>0</v>
      </c>
      <c r="AF1269" s="1">
        <f t="shared" si="417"/>
        <v>232</v>
      </c>
      <c r="AG1269" s="1">
        <f t="shared" si="418"/>
        <v>0</v>
      </c>
      <c r="AH1269" s="1">
        <f t="shared" si="419"/>
        <v>0</v>
      </c>
      <c r="AI1269" s="5">
        <f t="shared" si="420"/>
        <v>0.63561643835616444</v>
      </c>
      <c r="AJ1269" s="5">
        <f t="shared" si="421"/>
        <v>0.45092322643343058</v>
      </c>
      <c r="AK1269" s="5">
        <f t="shared" si="422"/>
        <v>5.4110787172011667</v>
      </c>
      <c r="AL1269" s="5">
        <f t="shared" si="423"/>
        <v>5.4110787172011667</v>
      </c>
      <c r="AM1269" s="5">
        <f t="shared" si="424"/>
        <v>0</v>
      </c>
      <c r="AN1269" s="5">
        <f t="shared" si="425"/>
        <v>5.4110787172011667</v>
      </c>
      <c r="AO1269" s="1" t="s">
        <v>102</v>
      </c>
    </row>
    <row r="1270" spans="1:41" x14ac:dyDescent="0.25">
      <c r="A1270" s="1" t="s">
        <v>19</v>
      </c>
      <c r="B1270" s="1" t="s">
        <v>58</v>
      </c>
      <c r="C1270" s="1" t="s">
        <v>21</v>
      </c>
      <c r="D1270" s="1" t="s">
        <v>59</v>
      </c>
      <c r="E1270" s="1" t="s">
        <v>96</v>
      </c>
      <c r="F1270" s="1" t="s">
        <v>103</v>
      </c>
      <c r="G1270" s="1" t="s">
        <v>127</v>
      </c>
      <c r="H1270" s="1" t="s">
        <v>251</v>
      </c>
      <c r="I1270" s="1" t="s">
        <v>100</v>
      </c>
      <c r="J1270" s="1" t="s">
        <v>101</v>
      </c>
      <c r="L1270" s="1">
        <v>2772314</v>
      </c>
      <c r="M1270" s="1" t="s">
        <v>1411</v>
      </c>
      <c r="N1270" s="8">
        <f>DATE(2021,4,12)</f>
        <v>44298</v>
      </c>
      <c r="O1270" s="8">
        <f>DATE(2024,5,12)</f>
        <v>45424</v>
      </c>
      <c r="P1270" s="1">
        <v>2058</v>
      </c>
      <c r="Q1270" s="1">
        <v>1600</v>
      </c>
      <c r="R1270" s="1">
        <f t="shared" si="408"/>
        <v>1600</v>
      </c>
      <c r="S1270" s="1">
        <v>1</v>
      </c>
      <c r="U1270" s="1">
        <f t="shared" si="409"/>
        <v>1127</v>
      </c>
      <c r="V1270" s="7">
        <f t="shared" si="410"/>
        <v>1.419698314108252</v>
      </c>
      <c r="W1270" s="7">
        <f t="shared" si="411"/>
        <v>518.18988464951201</v>
      </c>
      <c r="X1270" s="7">
        <f t="shared" si="412"/>
        <v>0.64773735581188996</v>
      </c>
      <c r="AA1270" s="8">
        <f t="shared" si="413"/>
        <v>44927</v>
      </c>
      <c r="AB1270" s="8">
        <f t="shared" si="414"/>
        <v>45291</v>
      </c>
      <c r="AC1270" s="1">
        <v>19</v>
      </c>
      <c r="AD1270" s="1">
        <f t="shared" si="415"/>
        <v>365</v>
      </c>
      <c r="AE1270" s="1">
        <f t="shared" si="416"/>
        <v>0</v>
      </c>
      <c r="AF1270" s="1">
        <f t="shared" si="417"/>
        <v>0</v>
      </c>
      <c r="AG1270" s="1">
        <f t="shared" si="418"/>
        <v>0</v>
      </c>
      <c r="AH1270" s="1">
        <f t="shared" si="419"/>
        <v>0</v>
      </c>
      <c r="AI1270" s="5">
        <f t="shared" si="420"/>
        <v>1</v>
      </c>
      <c r="AJ1270" s="5">
        <f t="shared" si="421"/>
        <v>0.64773735581188996</v>
      </c>
      <c r="AK1270" s="5">
        <f t="shared" si="422"/>
        <v>12.30700976042591</v>
      </c>
      <c r="AL1270" s="5">
        <f t="shared" si="423"/>
        <v>12.30700976042591</v>
      </c>
      <c r="AM1270" s="5">
        <f t="shared" si="424"/>
        <v>0</v>
      </c>
      <c r="AN1270" s="5">
        <f t="shared" si="425"/>
        <v>12.30700976042591</v>
      </c>
      <c r="AO1270" s="1" t="s">
        <v>102</v>
      </c>
    </row>
    <row r="1271" spans="1:41" x14ac:dyDescent="0.25">
      <c r="A1271" s="1" t="s">
        <v>19</v>
      </c>
      <c r="B1271" s="1" t="s">
        <v>58</v>
      </c>
      <c r="C1271" s="1" t="s">
        <v>21</v>
      </c>
      <c r="D1271" s="1" t="s">
        <v>59</v>
      </c>
      <c r="E1271" s="1" t="s">
        <v>96</v>
      </c>
      <c r="F1271" s="1" t="s">
        <v>103</v>
      </c>
      <c r="G1271" s="1" t="s">
        <v>114</v>
      </c>
      <c r="H1271" s="1" t="s">
        <v>1390</v>
      </c>
      <c r="I1271" s="1" t="s">
        <v>331</v>
      </c>
      <c r="J1271" s="1" t="s">
        <v>101</v>
      </c>
      <c r="K1271" s="1" t="s">
        <v>116</v>
      </c>
      <c r="L1271" s="1">
        <v>2772317</v>
      </c>
      <c r="M1271" s="1" t="s">
        <v>1412</v>
      </c>
      <c r="N1271" s="8">
        <f>DATE(2021,4,12)</f>
        <v>44298</v>
      </c>
      <c r="O1271" s="8">
        <f>DATE(2024,5,12)</f>
        <v>45424</v>
      </c>
      <c r="P1271" s="1">
        <v>3821</v>
      </c>
      <c r="Q1271" s="1">
        <v>1200</v>
      </c>
      <c r="R1271" s="1">
        <f t="shared" si="408"/>
        <v>3200</v>
      </c>
      <c r="S1271" s="1">
        <v>2</v>
      </c>
      <c r="U1271" s="1">
        <f t="shared" si="409"/>
        <v>1127</v>
      </c>
      <c r="V1271" s="7">
        <f t="shared" si="410"/>
        <v>2.839396628216504</v>
      </c>
      <c r="W1271" s="7">
        <f t="shared" si="411"/>
        <v>1036.379769299024</v>
      </c>
      <c r="X1271" s="7">
        <f t="shared" si="412"/>
        <v>1.2954747116237799</v>
      </c>
      <c r="AA1271" s="8">
        <f t="shared" si="413"/>
        <v>44927</v>
      </c>
      <c r="AB1271" s="8">
        <f t="shared" si="414"/>
        <v>45291</v>
      </c>
      <c r="AC1271" s="1">
        <v>26</v>
      </c>
      <c r="AD1271" s="1">
        <f t="shared" si="415"/>
        <v>365</v>
      </c>
      <c r="AE1271" s="1">
        <f t="shared" si="416"/>
        <v>0</v>
      </c>
      <c r="AF1271" s="1">
        <f t="shared" si="417"/>
        <v>0</v>
      </c>
      <c r="AG1271" s="1">
        <f t="shared" si="418"/>
        <v>0</v>
      </c>
      <c r="AH1271" s="1">
        <f t="shared" si="419"/>
        <v>0</v>
      </c>
      <c r="AI1271" s="5">
        <f t="shared" si="420"/>
        <v>1</v>
      </c>
      <c r="AJ1271" s="5">
        <f t="shared" si="421"/>
        <v>1.2954747116237799</v>
      </c>
      <c r="AK1271" s="5">
        <f t="shared" si="422"/>
        <v>33.682342502218276</v>
      </c>
      <c r="AL1271" s="5">
        <f t="shared" si="423"/>
        <v>67.364685004436552</v>
      </c>
      <c r="AM1271" s="5">
        <f t="shared" si="424"/>
        <v>0</v>
      </c>
      <c r="AN1271" s="5">
        <f t="shared" si="425"/>
        <v>67.364685004436552</v>
      </c>
      <c r="AO1271" s="1" t="s">
        <v>102</v>
      </c>
    </row>
    <row r="1272" spans="1:41" x14ac:dyDescent="0.25">
      <c r="A1272" s="1" t="s">
        <v>19</v>
      </c>
      <c r="B1272" s="1" t="s">
        <v>58</v>
      </c>
      <c r="C1272" s="1" t="s">
        <v>21</v>
      </c>
      <c r="D1272" s="1" t="s">
        <v>59</v>
      </c>
      <c r="E1272" s="1" t="s">
        <v>96</v>
      </c>
      <c r="F1272" s="1" t="s">
        <v>103</v>
      </c>
      <c r="G1272" s="1" t="s">
        <v>114</v>
      </c>
      <c r="H1272" s="1" t="s">
        <v>569</v>
      </c>
      <c r="I1272" s="1" t="s">
        <v>331</v>
      </c>
      <c r="J1272" s="1" t="s">
        <v>101</v>
      </c>
      <c r="K1272" s="1" t="s">
        <v>116</v>
      </c>
      <c r="L1272" s="1">
        <v>2772320</v>
      </c>
      <c r="M1272" s="1" t="s">
        <v>1413</v>
      </c>
      <c r="N1272" s="8">
        <f>DATE(2021,4,12)</f>
        <v>44298</v>
      </c>
      <c r="O1272" s="8">
        <f>DATE(2024,5,12)</f>
        <v>45424</v>
      </c>
      <c r="P1272" s="1">
        <v>3638</v>
      </c>
      <c r="Q1272" s="1">
        <v>1200</v>
      </c>
      <c r="R1272" s="1">
        <f t="shared" ref="R1272:R1307" si="426">IF(OR(G1272="QUALIFICACAO PROFISSIONAL (FIC)",G1272="DOUTORADO"),P1272,
    IF(ISNUMBER(FIND("PROEJA",K1272)),2400,
        IF(K1272="INTEGRADO",
            IF(Q1272=800,3000,
                IF(Q1272=1000,3100,
                    IF(Q1272=1200,3200,Q1272)
                )
            ),
            Q1272
        )
    )
)</f>
        <v>3200</v>
      </c>
      <c r="S1272" s="1">
        <v>2.5</v>
      </c>
      <c r="U1272" s="1">
        <f t="shared" ref="U1272:U1307" si="427">O1272-N1272+1</f>
        <v>1127</v>
      </c>
      <c r="V1272" s="7">
        <f t="shared" ref="V1272:V1307" si="428">IF(R1272&gt;P1272,P1272,R1272)/U1272</f>
        <v>2.839396628216504</v>
      </c>
      <c r="W1272" s="7">
        <f t="shared" ref="W1272:W1307" si="429">IF(U1272&gt;365,V1272*365,R1272)</f>
        <v>1036.379769299024</v>
      </c>
      <c r="X1272" s="7">
        <f t="shared" ref="X1272:X1307" si="430">IF(U1272&gt;365,W1272/800,R1272/800)</f>
        <v>1.2954747116237799</v>
      </c>
      <c r="AA1272" s="8">
        <f t="shared" ref="AA1272:AA1307" si="431">DATE(2023,1,1)</f>
        <v>44927</v>
      </c>
      <c r="AB1272" s="8">
        <f t="shared" ref="AB1272:AB1307" si="432">DATE(2023,12,31)</f>
        <v>45291</v>
      </c>
      <c r="AC1272" s="1">
        <v>25</v>
      </c>
      <c r="AD1272" s="1">
        <f t="shared" ref="AD1272:AD1307" si="433">IF(AND(N1272&lt;AA1272,O1272&gt;AB1272),AB1272-AA1272+1,0)</f>
        <v>365</v>
      </c>
      <c r="AE1272" s="1">
        <f t="shared" ref="AE1272:AE1307" si="434">IF(AND(N1272&gt;=AA1272,O1272&gt;AB1272,N1272&lt;AB1272),AB1272-N1272+1,0)</f>
        <v>0</v>
      </c>
      <c r="AF1272" s="1">
        <f t="shared" ref="AF1272:AF1307" si="435">IF(AND(N1272&lt;AA1272,O1272&lt;=AB1272,O1272&gt;=AA1272),O1272-AA1272+1,0)</f>
        <v>0</v>
      </c>
      <c r="AG1272" s="1">
        <f t="shared" ref="AG1272:AG1307" si="436">IF(AND(N1272&gt;=AA1272,O1272&lt;=AB1272),O1272-N1272+1,0)</f>
        <v>0</v>
      </c>
      <c r="AH1272" s="1">
        <f t="shared" ref="AH1272:AH1307" si="437">IF(AND(N1272&lt;AA1272,O1272&lt;AA1272),(AB1272-AA1272+1)/2,0)</f>
        <v>0</v>
      </c>
      <c r="AI1272" s="5">
        <f t="shared" ref="AI1272:AI1307" si="438">SUM(AD1272:AH1272)/IF(U1272&gt;=365,AB1272-AA1272+1,U1272)</f>
        <v>1</v>
      </c>
      <c r="AJ1272" s="5">
        <f t="shared" ref="AJ1272:AJ1307" si="439">X1272*AI1272</f>
        <v>1.2954747116237799</v>
      </c>
      <c r="AK1272" s="5">
        <f t="shared" ref="AK1272:AK1307" si="440">IF(AH1272=0,AJ1272*AC1272,IF(AA1272-O1272&gt;1095,0,AJ1272*(AC1272/2)))</f>
        <v>32.386867790594501</v>
      </c>
      <c r="AL1272" s="5">
        <f t="shared" ref="AL1272:AL1307" si="441">AK1272*S1272</f>
        <v>80.967169476486248</v>
      </c>
      <c r="AM1272" s="5">
        <f t="shared" ref="AM1272:AM1307" si="442">IF(J1272="SIM",AL1272*50%,0)</f>
        <v>0</v>
      </c>
      <c r="AN1272" s="5">
        <f t="shared" ref="AN1272:AN1307" si="443">AL1272+AM1272</f>
        <v>80.967169476486248</v>
      </c>
      <c r="AO1272" s="1" t="s">
        <v>102</v>
      </c>
    </row>
    <row r="1273" spans="1:41" x14ac:dyDescent="0.25">
      <c r="A1273" s="1" t="s">
        <v>19</v>
      </c>
      <c r="B1273" s="1" t="s">
        <v>58</v>
      </c>
      <c r="C1273" s="1" t="s">
        <v>21</v>
      </c>
      <c r="D1273" s="1" t="s">
        <v>59</v>
      </c>
      <c r="E1273" s="1" t="s">
        <v>96</v>
      </c>
      <c r="F1273" s="1" t="s">
        <v>103</v>
      </c>
      <c r="G1273" s="1" t="s">
        <v>114</v>
      </c>
      <c r="H1273" s="1" t="s">
        <v>1154</v>
      </c>
      <c r="I1273" s="1" t="s">
        <v>100</v>
      </c>
      <c r="J1273" s="1" t="s">
        <v>101</v>
      </c>
      <c r="K1273" s="1" t="s">
        <v>116</v>
      </c>
      <c r="L1273" s="1">
        <v>2772323</v>
      </c>
      <c r="M1273" s="1" t="s">
        <v>1414</v>
      </c>
      <c r="N1273" s="8">
        <f>DATE(2021,4,12)</f>
        <v>44298</v>
      </c>
      <c r="O1273" s="8">
        <f>DATE(2024,5,12)</f>
        <v>45424</v>
      </c>
      <c r="P1273" s="1">
        <v>3390</v>
      </c>
      <c r="Q1273" s="1">
        <v>800</v>
      </c>
      <c r="R1273" s="1">
        <f t="shared" si="426"/>
        <v>3000</v>
      </c>
      <c r="S1273" s="1">
        <v>1.5</v>
      </c>
      <c r="U1273" s="1">
        <f t="shared" si="427"/>
        <v>1127</v>
      </c>
      <c r="V1273" s="7">
        <f t="shared" si="428"/>
        <v>2.6619343389529724</v>
      </c>
      <c r="W1273" s="7">
        <f t="shared" si="429"/>
        <v>971.60603371783486</v>
      </c>
      <c r="X1273" s="7">
        <f t="shared" si="430"/>
        <v>1.2145075421472935</v>
      </c>
      <c r="AA1273" s="8">
        <f t="shared" si="431"/>
        <v>44927</v>
      </c>
      <c r="AB1273" s="8">
        <f t="shared" si="432"/>
        <v>45291</v>
      </c>
      <c r="AC1273" s="1">
        <v>30</v>
      </c>
      <c r="AD1273" s="1">
        <f t="shared" si="433"/>
        <v>365</v>
      </c>
      <c r="AE1273" s="1">
        <f t="shared" si="434"/>
        <v>0</v>
      </c>
      <c r="AF1273" s="1">
        <f t="shared" si="435"/>
        <v>0</v>
      </c>
      <c r="AG1273" s="1">
        <f t="shared" si="436"/>
        <v>0</v>
      </c>
      <c r="AH1273" s="1">
        <f t="shared" si="437"/>
        <v>0</v>
      </c>
      <c r="AI1273" s="5">
        <f t="shared" si="438"/>
        <v>1</v>
      </c>
      <c r="AJ1273" s="5">
        <f t="shared" si="439"/>
        <v>1.2145075421472935</v>
      </c>
      <c r="AK1273" s="5">
        <f t="shared" si="440"/>
        <v>36.435226264418802</v>
      </c>
      <c r="AL1273" s="5">
        <f t="shared" si="441"/>
        <v>54.652839396628202</v>
      </c>
      <c r="AM1273" s="5">
        <f t="shared" si="442"/>
        <v>0</v>
      </c>
      <c r="AN1273" s="5">
        <f t="shared" si="443"/>
        <v>54.652839396628202</v>
      </c>
      <c r="AO1273" s="1" t="s">
        <v>102</v>
      </c>
    </row>
    <row r="1274" spans="1:41" x14ac:dyDescent="0.25">
      <c r="A1274" s="1" t="s">
        <v>19</v>
      </c>
      <c r="B1274" s="1" t="s">
        <v>58</v>
      </c>
      <c r="C1274" s="1" t="s">
        <v>21</v>
      </c>
      <c r="D1274" s="1" t="s">
        <v>59</v>
      </c>
      <c r="E1274" s="1" t="s">
        <v>96</v>
      </c>
      <c r="F1274" s="1" t="s">
        <v>103</v>
      </c>
      <c r="G1274" s="1" t="s">
        <v>127</v>
      </c>
      <c r="H1274" s="1" t="s">
        <v>251</v>
      </c>
      <c r="I1274" s="1" t="s">
        <v>100</v>
      </c>
      <c r="J1274" s="1" t="s">
        <v>101</v>
      </c>
      <c r="L1274" s="1">
        <v>2806207</v>
      </c>
      <c r="M1274" s="1" t="s">
        <v>1415</v>
      </c>
      <c r="N1274" s="8">
        <f>DATE(2021,8,30)</f>
        <v>44438</v>
      </c>
      <c r="O1274" s="8">
        <f>DATE(2024,8,30)</f>
        <v>45534</v>
      </c>
      <c r="P1274" s="1">
        <v>2058</v>
      </c>
      <c r="Q1274" s="1">
        <v>1600</v>
      </c>
      <c r="R1274" s="1">
        <f t="shared" si="426"/>
        <v>1600</v>
      </c>
      <c r="S1274" s="1">
        <v>1</v>
      </c>
      <c r="U1274" s="1">
        <f t="shared" si="427"/>
        <v>1097</v>
      </c>
      <c r="V1274" s="7">
        <f t="shared" si="428"/>
        <v>1.4585232452142205</v>
      </c>
      <c r="W1274" s="7">
        <f t="shared" si="429"/>
        <v>532.36098450319048</v>
      </c>
      <c r="X1274" s="7">
        <f t="shared" si="430"/>
        <v>0.66545123062898814</v>
      </c>
      <c r="AA1274" s="8">
        <f t="shared" si="431"/>
        <v>44927</v>
      </c>
      <c r="AB1274" s="8">
        <f t="shared" si="432"/>
        <v>45291</v>
      </c>
      <c r="AC1274" s="1">
        <v>22</v>
      </c>
      <c r="AD1274" s="1">
        <f t="shared" si="433"/>
        <v>365</v>
      </c>
      <c r="AE1274" s="1">
        <f t="shared" si="434"/>
        <v>0</v>
      </c>
      <c r="AF1274" s="1">
        <f t="shared" si="435"/>
        <v>0</v>
      </c>
      <c r="AG1274" s="1">
        <f t="shared" si="436"/>
        <v>0</v>
      </c>
      <c r="AH1274" s="1">
        <f t="shared" si="437"/>
        <v>0</v>
      </c>
      <c r="AI1274" s="5">
        <f t="shared" si="438"/>
        <v>1</v>
      </c>
      <c r="AJ1274" s="5">
        <f t="shared" si="439"/>
        <v>0.66545123062898814</v>
      </c>
      <c r="AK1274" s="5">
        <f t="shared" si="440"/>
        <v>14.63992707383774</v>
      </c>
      <c r="AL1274" s="5">
        <f t="shared" si="441"/>
        <v>14.63992707383774</v>
      </c>
      <c r="AM1274" s="5">
        <f t="shared" si="442"/>
        <v>0</v>
      </c>
      <c r="AN1274" s="5">
        <f t="shared" si="443"/>
        <v>14.63992707383774</v>
      </c>
      <c r="AO1274" s="1" t="s">
        <v>102</v>
      </c>
    </row>
    <row r="1275" spans="1:41" x14ac:dyDescent="0.25">
      <c r="A1275" s="1" t="s">
        <v>19</v>
      </c>
      <c r="B1275" s="1" t="s">
        <v>58</v>
      </c>
      <c r="C1275" s="1" t="s">
        <v>21</v>
      </c>
      <c r="D1275" s="1" t="s">
        <v>59</v>
      </c>
      <c r="E1275" s="1" t="s">
        <v>96</v>
      </c>
      <c r="F1275" s="1" t="s">
        <v>103</v>
      </c>
      <c r="G1275" s="1" t="s">
        <v>114</v>
      </c>
      <c r="H1275" s="1" t="s">
        <v>1390</v>
      </c>
      <c r="I1275" s="1" t="s">
        <v>331</v>
      </c>
      <c r="J1275" s="1" t="s">
        <v>101</v>
      </c>
      <c r="K1275" s="1" t="s">
        <v>116</v>
      </c>
      <c r="L1275" s="1">
        <v>2806254</v>
      </c>
      <c r="M1275" s="1" t="s">
        <v>1416</v>
      </c>
      <c r="N1275" s="8">
        <f>DATE(2021,8,30)</f>
        <v>44438</v>
      </c>
      <c r="O1275" s="8">
        <f>DATE(2024,7,30)</f>
        <v>45503</v>
      </c>
      <c r="P1275" s="1">
        <v>3821</v>
      </c>
      <c r="Q1275" s="1">
        <v>1200</v>
      </c>
      <c r="R1275" s="1">
        <f t="shared" si="426"/>
        <v>3200</v>
      </c>
      <c r="S1275" s="1">
        <v>2</v>
      </c>
      <c r="U1275" s="1">
        <f t="shared" si="427"/>
        <v>1066</v>
      </c>
      <c r="V1275" s="7">
        <f t="shared" si="428"/>
        <v>3.0018761726078798</v>
      </c>
      <c r="W1275" s="7">
        <f t="shared" si="429"/>
        <v>1095.6848030018762</v>
      </c>
      <c r="X1275" s="7">
        <f t="shared" si="430"/>
        <v>1.3696060037523452</v>
      </c>
      <c r="AA1275" s="8">
        <f t="shared" si="431"/>
        <v>44927</v>
      </c>
      <c r="AB1275" s="8">
        <f t="shared" si="432"/>
        <v>45291</v>
      </c>
      <c r="AC1275" s="1">
        <v>25</v>
      </c>
      <c r="AD1275" s="1">
        <f t="shared" si="433"/>
        <v>365</v>
      </c>
      <c r="AE1275" s="1">
        <f t="shared" si="434"/>
        <v>0</v>
      </c>
      <c r="AF1275" s="1">
        <f t="shared" si="435"/>
        <v>0</v>
      </c>
      <c r="AG1275" s="1">
        <f t="shared" si="436"/>
        <v>0</v>
      </c>
      <c r="AH1275" s="1">
        <f t="shared" si="437"/>
        <v>0</v>
      </c>
      <c r="AI1275" s="5">
        <f t="shared" si="438"/>
        <v>1</v>
      </c>
      <c r="AJ1275" s="5">
        <f t="shared" si="439"/>
        <v>1.3696060037523452</v>
      </c>
      <c r="AK1275" s="5">
        <f t="shared" si="440"/>
        <v>34.24015009380863</v>
      </c>
      <c r="AL1275" s="5">
        <f t="shared" si="441"/>
        <v>68.48030018761726</v>
      </c>
      <c r="AM1275" s="5">
        <f t="shared" si="442"/>
        <v>0</v>
      </c>
      <c r="AN1275" s="5">
        <f t="shared" si="443"/>
        <v>68.48030018761726</v>
      </c>
      <c r="AO1275" s="1" t="s">
        <v>102</v>
      </c>
    </row>
    <row r="1276" spans="1:41" x14ac:dyDescent="0.25">
      <c r="A1276" s="1" t="s">
        <v>19</v>
      </c>
      <c r="B1276" s="1" t="s">
        <v>58</v>
      </c>
      <c r="C1276" s="1" t="s">
        <v>21</v>
      </c>
      <c r="D1276" s="1" t="s">
        <v>59</v>
      </c>
      <c r="E1276" s="1" t="s">
        <v>96</v>
      </c>
      <c r="F1276" s="1" t="s">
        <v>103</v>
      </c>
      <c r="G1276" s="1" t="s">
        <v>114</v>
      </c>
      <c r="H1276" s="1" t="s">
        <v>569</v>
      </c>
      <c r="I1276" s="1" t="s">
        <v>331</v>
      </c>
      <c r="J1276" s="1" t="s">
        <v>101</v>
      </c>
      <c r="K1276" s="1" t="s">
        <v>116</v>
      </c>
      <c r="L1276" s="1">
        <v>2806425</v>
      </c>
      <c r="M1276" s="1" t="s">
        <v>1417</v>
      </c>
      <c r="N1276" s="8">
        <f>DATE(2021,8,30)</f>
        <v>44438</v>
      </c>
      <c r="O1276" s="8">
        <f>DATE(2024,7,30)</f>
        <v>45503</v>
      </c>
      <c r="P1276" s="1">
        <v>3638</v>
      </c>
      <c r="Q1276" s="1">
        <v>1200</v>
      </c>
      <c r="R1276" s="1">
        <f t="shared" si="426"/>
        <v>3200</v>
      </c>
      <c r="S1276" s="1">
        <v>2.5</v>
      </c>
      <c r="U1276" s="1">
        <f t="shared" si="427"/>
        <v>1066</v>
      </c>
      <c r="V1276" s="7">
        <f t="shared" si="428"/>
        <v>3.0018761726078798</v>
      </c>
      <c r="W1276" s="7">
        <f t="shared" si="429"/>
        <v>1095.6848030018762</v>
      </c>
      <c r="X1276" s="7">
        <f t="shared" si="430"/>
        <v>1.3696060037523452</v>
      </c>
      <c r="AA1276" s="8">
        <f t="shared" si="431"/>
        <v>44927</v>
      </c>
      <c r="AB1276" s="8">
        <f t="shared" si="432"/>
        <v>45291</v>
      </c>
      <c r="AC1276" s="1">
        <v>27</v>
      </c>
      <c r="AD1276" s="1">
        <f t="shared" si="433"/>
        <v>365</v>
      </c>
      <c r="AE1276" s="1">
        <f t="shared" si="434"/>
        <v>0</v>
      </c>
      <c r="AF1276" s="1">
        <f t="shared" si="435"/>
        <v>0</v>
      </c>
      <c r="AG1276" s="1">
        <f t="shared" si="436"/>
        <v>0</v>
      </c>
      <c r="AH1276" s="1">
        <f t="shared" si="437"/>
        <v>0</v>
      </c>
      <c r="AI1276" s="5">
        <f t="shared" si="438"/>
        <v>1</v>
      </c>
      <c r="AJ1276" s="5">
        <f t="shared" si="439"/>
        <v>1.3696060037523452</v>
      </c>
      <c r="AK1276" s="5">
        <f t="shared" si="440"/>
        <v>36.97936210131332</v>
      </c>
      <c r="AL1276" s="5">
        <f t="shared" si="441"/>
        <v>92.448405253283298</v>
      </c>
      <c r="AM1276" s="5">
        <f t="shared" si="442"/>
        <v>0</v>
      </c>
      <c r="AN1276" s="5">
        <f t="shared" si="443"/>
        <v>92.448405253283298</v>
      </c>
      <c r="AO1276" s="1" t="s">
        <v>102</v>
      </c>
    </row>
    <row r="1277" spans="1:41" x14ac:dyDescent="0.25">
      <c r="A1277" s="1" t="s">
        <v>19</v>
      </c>
      <c r="B1277" s="1" t="s">
        <v>58</v>
      </c>
      <c r="C1277" s="1" t="s">
        <v>21</v>
      </c>
      <c r="D1277" s="1" t="s">
        <v>59</v>
      </c>
      <c r="E1277" s="1" t="s">
        <v>96</v>
      </c>
      <c r="F1277" s="1" t="s">
        <v>103</v>
      </c>
      <c r="G1277" s="1" t="s">
        <v>114</v>
      </c>
      <c r="H1277" s="1" t="s">
        <v>1154</v>
      </c>
      <c r="I1277" s="1" t="s">
        <v>100</v>
      </c>
      <c r="J1277" s="1" t="s">
        <v>101</v>
      </c>
      <c r="K1277" s="1" t="s">
        <v>116</v>
      </c>
      <c r="L1277" s="1">
        <v>2806428</v>
      </c>
      <c r="M1277" s="1" t="s">
        <v>1418</v>
      </c>
      <c r="N1277" s="8">
        <f>DATE(2021,8,30)</f>
        <v>44438</v>
      </c>
      <c r="O1277" s="8">
        <f>DATE(2024,7,30)</f>
        <v>45503</v>
      </c>
      <c r="P1277" s="1">
        <v>3390</v>
      </c>
      <c r="Q1277" s="1">
        <v>800</v>
      </c>
      <c r="R1277" s="1">
        <f t="shared" si="426"/>
        <v>3000</v>
      </c>
      <c r="S1277" s="1">
        <v>1.5</v>
      </c>
      <c r="U1277" s="1">
        <f t="shared" si="427"/>
        <v>1066</v>
      </c>
      <c r="V1277" s="7">
        <f t="shared" si="428"/>
        <v>2.8142589118198873</v>
      </c>
      <c r="W1277" s="7">
        <f t="shared" si="429"/>
        <v>1027.2045028142588</v>
      </c>
      <c r="X1277" s="7">
        <f t="shared" si="430"/>
        <v>1.2840056285178236</v>
      </c>
      <c r="AA1277" s="8">
        <f t="shared" si="431"/>
        <v>44927</v>
      </c>
      <c r="AB1277" s="8">
        <f t="shared" si="432"/>
        <v>45291</v>
      </c>
      <c r="AC1277" s="1">
        <v>29</v>
      </c>
      <c r="AD1277" s="1">
        <f t="shared" si="433"/>
        <v>365</v>
      </c>
      <c r="AE1277" s="1">
        <f t="shared" si="434"/>
        <v>0</v>
      </c>
      <c r="AF1277" s="1">
        <f t="shared" si="435"/>
        <v>0</v>
      </c>
      <c r="AG1277" s="1">
        <f t="shared" si="436"/>
        <v>0</v>
      </c>
      <c r="AH1277" s="1">
        <f t="shared" si="437"/>
        <v>0</v>
      </c>
      <c r="AI1277" s="5">
        <f t="shared" si="438"/>
        <v>1</v>
      </c>
      <c r="AJ1277" s="5">
        <f t="shared" si="439"/>
        <v>1.2840056285178236</v>
      </c>
      <c r="AK1277" s="5">
        <f t="shared" si="440"/>
        <v>37.236163227016888</v>
      </c>
      <c r="AL1277" s="5">
        <f t="shared" si="441"/>
        <v>55.854244840525332</v>
      </c>
      <c r="AM1277" s="5">
        <f t="shared" si="442"/>
        <v>0</v>
      </c>
      <c r="AN1277" s="5">
        <f t="shared" si="443"/>
        <v>55.854244840525332</v>
      </c>
      <c r="AO1277" s="1" t="s">
        <v>102</v>
      </c>
    </row>
    <row r="1278" spans="1:41" x14ac:dyDescent="0.25">
      <c r="A1278" s="1" t="s">
        <v>19</v>
      </c>
      <c r="B1278" s="1" t="s">
        <v>58</v>
      </c>
      <c r="C1278" s="1" t="s">
        <v>21</v>
      </c>
      <c r="D1278" s="1" t="s">
        <v>59</v>
      </c>
      <c r="E1278" s="1" t="s">
        <v>172</v>
      </c>
      <c r="F1278" s="1" t="s">
        <v>534</v>
      </c>
      <c r="G1278" s="1" t="s">
        <v>185</v>
      </c>
      <c r="H1278" s="1" t="s">
        <v>1419</v>
      </c>
      <c r="I1278" s="1" t="s">
        <v>331</v>
      </c>
      <c r="J1278" s="1" t="s">
        <v>101</v>
      </c>
      <c r="L1278" s="1">
        <v>2832608</v>
      </c>
      <c r="M1278" s="1" t="s">
        <v>1420</v>
      </c>
      <c r="N1278" s="8">
        <f t="shared" ref="N1278:N1283" si="444">DATE(2022,1,31)</f>
        <v>44592</v>
      </c>
      <c r="O1278" s="8">
        <f>DATE(2023,7,31)</f>
        <v>45138</v>
      </c>
      <c r="P1278" s="1">
        <v>408</v>
      </c>
      <c r="Q1278" s="1">
        <v>360</v>
      </c>
      <c r="R1278" s="1">
        <f t="shared" si="426"/>
        <v>360</v>
      </c>
      <c r="S1278" s="1">
        <v>2.5</v>
      </c>
      <c r="U1278" s="1">
        <f t="shared" si="427"/>
        <v>547</v>
      </c>
      <c r="V1278" s="7">
        <f t="shared" si="428"/>
        <v>0.65813528336380256</v>
      </c>
      <c r="W1278" s="7">
        <f t="shared" si="429"/>
        <v>240.21937842778794</v>
      </c>
      <c r="X1278" s="7">
        <f t="shared" si="430"/>
        <v>0.30027422303473494</v>
      </c>
      <c r="AA1278" s="8">
        <f t="shared" si="431"/>
        <v>44927</v>
      </c>
      <c r="AB1278" s="8">
        <f t="shared" si="432"/>
        <v>45291</v>
      </c>
      <c r="AC1278" s="1">
        <v>63</v>
      </c>
      <c r="AD1278" s="1">
        <f t="shared" si="433"/>
        <v>0</v>
      </c>
      <c r="AE1278" s="1">
        <f t="shared" si="434"/>
        <v>0</v>
      </c>
      <c r="AF1278" s="1">
        <f t="shared" si="435"/>
        <v>212</v>
      </c>
      <c r="AG1278" s="1">
        <f t="shared" si="436"/>
        <v>0</v>
      </c>
      <c r="AH1278" s="1">
        <f t="shared" si="437"/>
        <v>0</v>
      </c>
      <c r="AI1278" s="5">
        <f t="shared" si="438"/>
        <v>0.58082191780821912</v>
      </c>
      <c r="AJ1278" s="5">
        <f t="shared" si="439"/>
        <v>0.17440585009140769</v>
      </c>
      <c r="AK1278" s="5">
        <f t="shared" si="440"/>
        <v>10.987568555758685</v>
      </c>
      <c r="AL1278" s="5">
        <f t="shared" si="441"/>
        <v>27.468921389396712</v>
      </c>
      <c r="AM1278" s="5">
        <f t="shared" si="442"/>
        <v>0</v>
      </c>
      <c r="AN1278" s="5">
        <f t="shared" si="443"/>
        <v>27.468921389396712</v>
      </c>
      <c r="AO1278" s="1" t="s">
        <v>111</v>
      </c>
    </row>
    <row r="1279" spans="1:41" x14ac:dyDescent="0.25">
      <c r="A1279" s="1" t="s">
        <v>19</v>
      </c>
      <c r="B1279" s="1" t="s">
        <v>58</v>
      </c>
      <c r="C1279" s="1" t="s">
        <v>21</v>
      </c>
      <c r="D1279" s="1" t="s">
        <v>59</v>
      </c>
      <c r="E1279" s="1" t="s">
        <v>96</v>
      </c>
      <c r="F1279" s="1" t="s">
        <v>103</v>
      </c>
      <c r="G1279" s="1" t="s">
        <v>155</v>
      </c>
      <c r="H1279" s="1" t="s">
        <v>418</v>
      </c>
      <c r="I1279" s="1" t="s">
        <v>174</v>
      </c>
      <c r="J1279" s="1" t="s">
        <v>101</v>
      </c>
      <c r="L1279" s="1">
        <v>2835174</v>
      </c>
      <c r="M1279" s="1" t="s">
        <v>1421</v>
      </c>
      <c r="N1279" s="8">
        <f t="shared" si="444"/>
        <v>44592</v>
      </c>
      <c r="O1279" s="8">
        <f>DATE(2022,7,8)</f>
        <v>44750</v>
      </c>
      <c r="P1279" s="1">
        <v>85</v>
      </c>
      <c r="Q1279" s="1">
        <v>160</v>
      </c>
      <c r="R1279" s="1">
        <f t="shared" si="426"/>
        <v>85</v>
      </c>
      <c r="S1279" s="1">
        <v>1</v>
      </c>
      <c r="U1279" s="1">
        <f t="shared" si="427"/>
        <v>159</v>
      </c>
      <c r="V1279" s="7">
        <f t="shared" si="428"/>
        <v>0.53459119496855345</v>
      </c>
      <c r="W1279" s="7">
        <f t="shared" si="429"/>
        <v>85</v>
      </c>
      <c r="X1279" s="7">
        <f t="shared" si="430"/>
        <v>0.10625</v>
      </c>
      <c r="AA1279" s="8">
        <f t="shared" si="431"/>
        <v>44927</v>
      </c>
      <c r="AB1279" s="8">
        <f t="shared" si="432"/>
        <v>45291</v>
      </c>
      <c r="AC1279" s="1">
        <v>0</v>
      </c>
      <c r="AD1279" s="1">
        <f t="shared" si="433"/>
        <v>0</v>
      </c>
      <c r="AE1279" s="1">
        <f t="shared" si="434"/>
        <v>0</v>
      </c>
      <c r="AF1279" s="1">
        <f t="shared" si="435"/>
        <v>0</v>
      </c>
      <c r="AG1279" s="1">
        <f t="shared" si="436"/>
        <v>0</v>
      </c>
      <c r="AH1279" s="1">
        <f t="shared" si="437"/>
        <v>182.5</v>
      </c>
      <c r="AI1279" s="5">
        <f t="shared" si="438"/>
        <v>1.1477987421383649</v>
      </c>
      <c r="AJ1279" s="5">
        <f t="shared" si="439"/>
        <v>0.12195361635220127</v>
      </c>
      <c r="AK1279" s="5">
        <f t="shared" si="440"/>
        <v>0</v>
      </c>
      <c r="AL1279" s="5">
        <f t="shared" si="441"/>
        <v>0</v>
      </c>
      <c r="AM1279" s="5">
        <f t="shared" si="442"/>
        <v>0</v>
      </c>
      <c r="AN1279" s="5">
        <f t="shared" si="443"/>
        <v>0</v>
      </c>
      <c r="AO1279" s="1" t="s">
        <v>102</v>
      </c>
    </row>
    <row r="1280" spans="1:41" x14ac:dyDescent="0.25">
      <c r="A1280" s="1" t="s">
        <v>19</v>
      </c>
      <c r="B1280" s="1" t="s">
        <v>58</v>
      </c>
      <c r="C1280" s="1" t="s">
        <v>21</v>
      </c>
      <c r="D1280" s="1" t="s">
        <v>59</v>
      </c>
      <c r="E1280" s="1" t="s">
        <v>96</v>
      </c>
      <c r="F1280" s="1" t="s">
        <v>103</v>
      </c>
      <c r="G1280" s="1" t="s">
        <v>114</v>
      </c>
      <c r="H1280" s="1" t="s">
        <v>1390</v>
      </c>
      <c r="I1280" s="1" t="s">
        <v>331</v>
      </c>
      <c r="J1280" s="1" t="s">
        <v>101</v>
      </c>
      <c r="K1280" s="1" t="s">
        <v>116</v>
      </c>
      <c r="L1280" s="1">
        <v>2838450</v>
      </c>
      <c r="M1280" s="1" t="s">
        <v>1422</v>
      </c>
      <c r="N1280" s="8">
        <f t="shared" si="444"/>
        <v>44592</v>
      </c>
      <c r="O1280" s="8">
        <f>DATE(2024,12,31)</f>
        <v>45657</v>
      </c>
      <c r="P1280" s="1">
        <v>3821</v>
      </c>
      <c r="Q1280" s="1">
        <v>1200</v>
      </c>
      <c r="R1280" s="1">
        <f t="shared" si="426"/>
        <v>3200</v>
      </c>
      <c r="S1280" s="1">
        <v>2</v>
      </c>
      <c r="U1280" s="1">
        <f t="shared" si="427"/>
        <v>1066</v>
      </c>
      <c r="V1280" s="7">
        <f t="shared" si="428"/>
        <v>3.0018761726078798</v>
      </c>
      <c r="W1280" s="7">
        <f t="shared" si="429"/>
        <v>1095.6848030018762</v>
      </c>
      <c r="X1280" s="7">
        <f t="shared" si="430"/>
        <v>1.3696060037523452</v>
      </c>
      <c r="AA1280" s="8">
        <f t="shared" si="431"/>
        <v>44927</v>
      </c>
      <c r="AB1280" s="8">
        <f t="shared" si="432"/>
        <v>45291</v>
      </c>
      <c r="AC1280" s="1">
        <v>29</v>
      </c>
      <c r="AD1280" s="1">
        <f t="shared" si="433"/>
        <v>365</v>
      </c>
      <c r="AE1280" s="1">
        <f t="shared" si="434"/>
        <v>0</v>
      </c>
      <c r="AF1280" s="1">
        <f t="shared" si="435"/>
        <v>0</v>
      </c>
      <c r="AG1280" s="1">
        <f t="shared" si="436"/>
        <v>0</v>
      </c>
      <c r="AH1280" s="1">
        <f t="shared" si="437"/>
        <v>0</v>
      </c>
      <c r="AI1280" s="5">
        <f t="shared" si="438"/>
        <v>1</v>
      </c>
      <c r="AJ1280" s="5">
        <f t="shared" si="439"/>
        <v>1.3696060037523452</v>
      </c>
      <c r="AK1280" s="5">
        <f t="shared" si="440"/>
        <v>39.718574108818011</v>
      </c>
      <c r="AL1280" s="5">
        <f t="shared" si="441"/>
        <v>79.437148217636022</v>
      </c>
      <c r="AM1280" s="5">
        <f t="shared" si="442"/>
        <v>0</v>
      </c>
      <c r="AN1280" s="5">
        <f t="shared" si="443"/>
        <v>79.437148217636022</v>
      </c>
      <c r="AO1280" s="1" t="s">
        <v>102</v>
      </c>
    </row>
    <row r="1281" spans="1:41" x14ac:dyDescent="0.25">
      <c r="A1281" s="1" t="s">
        <v>19</v>
      </c>
      <c r="B1281" s="1" t="s">
        <v>58</v>
      </c>
      <c r="C1281" s="1" t="s">
        <v>21</v>
      </c>
      <c r="D1281" s="1" t="s">
        <v>59</v>
      </c>
      <c r="E1281" s="1" t="s">
        <v>96</v>
      </c>
      <c r="F1281" s="1" t="s">
        <v>103</v>
      </c>
      <c r="G1281" s="1" t="s">
        <v>114</v>
      </c>
      <c r="H1281" s="1" t="s">
        <v>1154</v>
      </c>
      <c r="I1281" s="1" t="s">
        <v>100</v>
      </c>
      <c r="J1281" s="1" t="s">
        <v>101</v>
      </c>
      <c r="K1281" s="1" t="s">
        <v>116</v>
      </c>
      <c r="L1281" s="1">
        <v>2838451</v>
      </c>
      <c r="M1281" s="1" t="s">
        <v>1423</v>
      </c>
      <c r="N1281" s="8">
        <f t="shared" si="444"/>
        <v>44592</v>
      </c>
      <c r="O1281" s="8">
        <f>DATE(2024,12,31)</f>
        <v>45657</v>
      </c>
      <c r="P1281" s="1">
        <v>3390</v>
      </c>
      <c r="Q1281" s="1">
        <v>800</v>
      </c>
      <c r="R1281" s="1">
        <f t="shared" si="426"/>
        <v>3000</v>
      </c>
      <c r="S1281" s="1">
        <v>1.5</v>
      </c>
      <c r="U1281" s="1">
        <f t="shared" si="427"/>
        <v>1066</v>
      </c>
      <c r="V1281" s="7">
        <f t="shared" si="428"/>
        <v>2.8142589118198873</v>
      </c>
      <c r="W1281" s="7">
        <f t="shared" si="429"/>
        <v>1027.2045028142588</v>
      </c>
      <c r="X1281" s="7">
        <f t="shared" si="430"/>
        <v>1.2840056285178236</v>
      </c>
      <c r="AA1281" s="8">
        <f t="shared" si="431"/>
        <v>44927</v>
      </c>
      <c r="AB1281" s="8">
        <f t="shared" si="432"/>
        <v>45291</v>
      </c>
      <c r="AC1281" s="1">
        <v>30</v>
      </c>
      <c r="AD1281" s="1">
        <f t="shared" si="433"/>
        <v>365</v>
      </c>
      <c r="AE1281" s="1">
        <f t="shared" si="434"/>
        <v>0</v>
      </c>
      <c r="AF1281" s="1">
        <f t="shared" si="435"/>
        <v>0</v>
      </c>
      <c r="AG1281" s="1">
        <f t="shared" si="436"/>
        <v>0</v>
      </c>
      <c r="AH1281" s="1">
        <f t="shared" si="437"/>
        <v>0</v>
      </c>
      <c r="AI1281" s="5">
        <f t="shared" si="438"/>
        <v>1</v>
      </c>
      <c r="AJ1281" s="5">
        <f t="shared" si="439"/>
        <v>1.2840056285178236</v>
      </c>
      <c r="AK1281" s="5">
        <f t="shared" si="440"/>
        <v>38.520168855534706</v>
      </c>
      <c r="AL1281" s="5">
        <f t="shared" si="441"/>
        <v>57.780253283302059</v>
      </c>
      <c r="AM1281" s="5">
        <f t="shared" si="442"/>
        <v>0</v>
      </c>
      <c r="AN1281" s="5">
        <f t="shared" si="443"/>
        <v>57.780253283302059</v>
      </c>
      <c r="AO1281" s="1" t="s">
        <v>102</v>
      </c>
    </row>
    <row r="1282" spans="1:41" x14ac:dyDescent="0.25">
      <c r="A1282" s="1" t="s">
        <v>19</v>
      </c>
      <c r="B1282" s="1" t="s">
        <v>58</v>
      </c>
      <c r="C1282" s="1" t="s">
        <v>21</v>
      </c>
      <c r="D1282" s="1" t="s">
        <v>59</v>
      </c>
      <c r="E1282" s="1" t="s">
        <v>96</v>
      </c>
      <c r="F1282" s="1" t="s">
        <v>103</v>
      </c>
      <c r="G1282" s="1" t="s">
        <v>127</v>
      </c>
      <c r="H1282" s="1" t="s">
        <v>251</v>
      </c>
      <c r="I1282" s="1" t="s">
        <v>100</v>
      </c>
      <c r="J1282" s="1" t="s">
        <v>101</v>
      </c>
      <c r="L1282" s="1">
        <v>2838454</v>
      </c>
      <c r="M1282" s="1" t="s">
        <v>1424</v>
      </c>
      <c r="N1282" s="8">
        <f t="shared" si="444"/>
        <v>44592</v>
      </c>
      <c r="O1282" s="8">
        <f>DATE(2024,12,31)</f>
        <v>45657</v>
      </c>
      <c r="P1282" s="1">
        <v>2058</v>
      </c>
      <c r="Q1282" s="1">
        <v>1600</v>
      </c>
      <c r="R1282" s="1">
        <f t="shared" si="426"/>
        <v>1600</v>
      </c>
      <c r="S1282" s="1">
        <v>1</v>
      </c>
      <c r="U1282" s="1">
        <f t="shared" si="427"/>
        <v>1066</v>
      </c>
      <c r="V1282" s="7">
        <f t="shared" si="428"/>
        <v>1.5009380863039399</v>
      </c>
      <c r="W1282" s="7">
        <f t="shared" si="429"/>
        <v>547.84240150093808</v>
      </c>
      <c r="X1282" s="7">
        <f t="shared" si="430"/>
        <v>0.6848030018761726</v>
      </c>
      <c r="AA1282" s="8">
        <f t="shared" si="431"/>
        <v>44927</v>
      </c>
      <c r="AB1282" s="8">
        <f t="shared" si="432"/>
        <v>45291</v>
      </c>
      <c r="AC1282" s="1">
        <v>27</v>
      </c>
      <c r="AD1282" s="1">
        <f t="shared" si="433"/>
        <v>365</v>
      </c>
      <c r="AE1282" s="1">
        <f t="shared" si="434"/>
        <v>0</v>
      </c>
      <c r="AF1282" s="1">
        <f t="shared" si="435"/>
        <v>0</v>
      </c>
      <c r="AG1282" s="1">
        <f t="shared" si="436"/>
        <v>0</v>
      </c>
      <c r="AH1282" s="1">
        <f t="shared" si="437"/>
        <v>0</v>
      </c>
      <c r="AI1282" s="5">
        <f t="shared" si="438"/>
        <v>1</v>
      </c>
      <c r="AJ1282" s="5">
        <f t="shared" si="439"/>
        <v>0.6848030018761726</v>
      </c>
      <c r="AK1282" s="5">
        <f t="shared" si="440"/>
        <v>18.48968105065666</v>
      </c>
      <c r="AL1282" s="5">
        <f t="shared" si="441"/>
        <v>18.48968105065666</v>
      </c>
      <c r="AM1282" s="5">
        <f t="shared" si="442"/>
        <v>0</v>
      </c>
      <c r="AN1282" s="5">
        <f t="shared" si="443"/>
        <v>18.48968105065666</v>
      </c>
      <c r="AO1282" s="1" t="s">
        <v>102</v>
      </c>
    </row>
    <row r="1283" spans="1:41" x14ac:dyDescent="0.25">
      <c r="A1283" s="1" t="s">
        <v>19</v>
      </c>
      <c r="B1283" s="1" t="s">
        <v>58</v>
      </c>
      <c r="C1283" s="1" t="s">
        <v>21</v>
      </c>
      <c r="D1283" s="1" t="s">
        <v>59</v>
      </c>
      <c r="E1283" s="1" t="s">
        <v>96</v>
      </c>
      <c r="F1283" s="1" t="s">
        <v>103</v>
      </c>
      <c r="G1283" s="1" t="s">
        <v>114</v>
      </c>
      <c r="H1283" s="1" t="s">
        <v>569</v>
      </c>
      <c r="I1283" s="1" t="s">
        <v>331</v>
      </c>
      <c r="J1283" s="1" t="s">
        <v>101</v>
      </c>
      <c r="K1283" s="1" t="s">
        <v>116</v>
      </c>
      <c r="L1283" s="1">
        <v>2838462</v>
      </c>
      <c r="M1283" s="1" t="s">
        <v>1425</v>
      </c>
      <c r="N1283" s="8">
        <f t="shared" si="444"/>
        <v>44592</v>
      </c>
      <c r="O1283" s="8">
        <f>DATE(2024,12,31)</f>
        <v>45657</v>
      </c>
      <c r="P1283" s="1">
        <v>3638</v>
      </c>
      <c r="Q1283" s="1">
        <v>1200</v>
      </c>
      <c r="R1283" s="1">
        <f t="shared" si="426"/>
        <v>3200</v>
      </c>
      <c r="S1283" s="1">
        <v>2.5</v>
      </c>
      <c r="U1283" s="1">
        <f t="shared" si="427"/>
        <v>1066</v>
      </c>
      <c r="V1283" s="7">
        <f t="shared" si="428"/>
        <v>3.0018761726078798</v>
      </c>
      <c r="W1283" s="7">
        <f t="shared" si="429"/>
        <v>1095.6848030018762</v>
      </c>
      <c r="X1283" s="7">
        <f t="shared" si="430"/>
        <v>1.3696060037523452</v>
      </c>
      <c r="AA1283" s="8">
        <f t="shared" si="431"/>
        <v>44927</v>
      </c>
      <c r="AB1283" s="8">
        <f t="shared" si="432"/>
        <v>45291</v>
      </c>
      <c r="AC1283" s="1">
        <v>30</v>
      </c>
      <c r="AD1283" s="1">
        <f t="shared" si="433"/>
        <v>365</v>
      </c>
      <c r="AE1283" s="1">
        <f t="shared" si="434"/>
        <v>0</v>
      </c>
      <c r="AF1283" s="1">
        <f t="shared" si="435"/>
        <v>0</v>
      </c>
      <c r="AG1283" s="1">
        <f t="shared" si="436"/>
        <v>0</v>
      </c>
      <c r="AH1283" s="1">
        <f t="shared" si="437"/>
        <v>0</v>
      </c>
      <c r="AI1283" s="5">
        <f t="shared" si="438"/>
        <v>1</v>
      </c>
      <c r="AJ1283" s="5">
        <f t="shared" si="439"/>
        <v>1.3696060037523452</v>
      </c>
      <c r="AK1283" s="5">
        <f t="shared" si="440"/>
        <v>41.088180112570356</v>
      </c>
      <c r="AL1283" s="5">
        <f t="shared" si="441"/>
        <v>102.72045028142588</v>
      </c>
      <c r="AM1283" s="5">
        <f t="shared" si="442"/>
        <v>0</v>
      </c>
      <c r="AN1283" s="5">
        <f t="shared" si="443"/>
        <v>102.72045028142588</v>
      </c>
      <c r="AO1283" s="1" t="s">
        <v>102</v>
      </c>
    </row>
    <row r="1284" spans="1:41" x14ac:dyDescent="0.25">
      <c r="A1284" s="1" t="s">
        <v>19</v>
      </c>
      <c r="B1284" s="1" t="s">
        <v>58</v>
      </c>
      <c r="C1284" s="1" t="s">
        <v>21</v>
      </c>
      <c r="D1284" s="1" t="s">
        <v>59</v>
      </c>
      <c r="E1284" s="1" t="s">
        <v>96</v>
      </c>
      <c r="F1284" s="1" t="s">
        <v>103</v>
      </c>
      <c r="G1284" s="1" t="s">
        <v>155</v>
      </c>
      <c r="H1284" s="1" t="s">
        <v>1426</v>
      </c>
      <c r="I1284" s="1" t="s">
        <v>174</v>
      </c>
      <c r="J1284" s="1" t="s">
        <v>101</v>
      </c>
      <c r="L1284" s="1">
        <v>2846626</v>
      </c>
      <c r="M1284" s="1" t="s">
        <v>1427</v>
      </c>
      <c r="N1284" s="8">
        <f>DATE(2022,2,24)</f>
        <v>44616</v>
      </c>
      <c r="O1284" s="8">
        <f>DATE(2022,7,30)</f>
        <v>44772</v>
      </c>
      <c r="P1284" s="1">
        <v>80</v>
      </c>
      <c r="Q1284" s="1">
        <v>160</v>
      </c>
      <c r="R1284" s="1">
        <f t="shared" si="426"/>
        <v>80</v>
      </c>
      <c r="S1284" s="1">
        <v>1</v>
      </c>
      <c r="U1284" s="1">
        <f t="shared" si="427"/>
        <v>157</v>
      </c>
      <c r="V1284" s="7">
        <f t="shared" si="428"/>
        <v>0.50955414012738853</v>
      </c>
      <c r="W1284" s="7">
        <f t="shared" si="429"/>
        <v>80</v>
      </c>
      <c r="X1284" s="7">
        <f t="shared" si="430"/>
        <v>0.1</v>
      </c>
      <c r="AA1284" s="8">
        <f t="shared" si="431"/>
        <v>44927</v>
      </c>
      <c r="AB1284" s="8">
        <f t="shared" si="432"/>
        <v>45291</v>
      </c>
      <c r="AC1284" s="1">
        <v>0</v>
      </c>
      <c r="AD1284" s="1">
        <f t="shared" si="433"/>
        <v>0</v>
      </c>
      <c r="AE1284" s="1">
        <f t="shared" si="434"/>
        <v>0</v>
      </c>
      <c r="AF1284" s="1">
        <f t="shared" si="435"/>
        <v>0</v>
      </c>
      <c r="AG1284" s="1">
        <f t="shared" si="436"/>
        <v>0</v>
      </c>
      <c r="AH1284" s="1">
        <f t="shared" si="437"/>
        <v>182.5</v>
      </c>
      <c r="AI1284" s="5">
        <f t="shared" si="438"/>
        <v>1.1624203821656052</v>
      </c>
      <c r="AJ1284" s="5">
        <f t="shared" si="439"/>
        <v>0.11624203821656053</v>
      </c>
      <c r="AK1284" s="5">
        <f t="shared" si="440"/>
        <v>0</v>
      </c>
      <c r="AL1284" s="5">
        <f t="shared" si="441"/>
        <v>0</v>
      </c>
      <c r="AM1284" s="5">
        <f t="shared" si="442"/>
        <v>0</v>
      </c>
      <c r="AN1284" s="5">
        <f t="shared" si="443"/>
        <v>0</v>
      </c>
      <c r="AO1284" s="1" t="s">
        <v>102</v>
      </c>
    </row>
    <row r="1285" spans="1:41" x14ac:dyDescent="0.25">
      <c r="A1285" s="1" t="s">
        <v>19</v>
      </c>
      <c r="B1285" s="1" t="s">
        <v>58</v>
      </c>
      <c r="C1285" s="1" t="s">
        <v>21</v>
      </c>
      <c r="D1285" s="1" t="s">
        <v>59</v>
      </c>
      <c r="E1285" s="1" t="s">
        <v>96</v>
      </c>
      <c r="F1285" s="1" t="s">
        <v>103</v>
      </c>
      <c r="G1285" s="1" t="s">
        <v>155</v>
      </c>
      <c r="H1285" s="1" t="s">
        <v>1379</v>
      </c>
      <c r="I1285" s="1" t="s">
        <v>100</v>
      </c>
      <c r="J1285" s="1" t="s">
        <v>101</v>
      </c>
      <c r="L1285" s="1">
        <v>2883111</v>
      </c>
      <c r="M1285" s="1" t="s">
        <v>1428</v>
      </c>
      <c r="N1285" s="8">
        <f>DATE(2022,7,30)</f>
        <v>44772</v>
      </c>
      <c r="O1285" s="8">
        <f>DATE(2022,12,17)</f>
        <v>44912</v>
      </c>
      <c r="P1285" s="1">
        <v>160</v>
      </c>
      <c r="Q1285" s="1">
        <v>160</v>
      </c>
      <c r="R1285" s="1">
        <f t="shared" si="426"/>
        <v>160</v>
      </c>
      <c r="S1285" s="1">
        <v>1</v>
      </c>
      <c r="U1285" s="1">
        <f t="shared" si="427"/>
        <v>141</v>
      </c>
      <c r="V1285" s="7">
        <f t="shared" si="428"/>
        <v>1.1347517730496455</v>
      </c>
      <c r="W1285" s="7">
        <f t="shared" si="429"/>
        <v>160</v>
      </c>
      <c r="X1285" s="7">
        <f t="shared" si="430"/>
        <v>0.2</v>
      </c>
      <c r="AA1285" s="8">
        <f t="shared" si="431"/>
        <v>44927</v>
      </c>
      <c r="AB1285" s="8">
        <f t="shared" si="432"/>
        <v>45291</v>
      </c>
      <c r="AC1285" s="1">
        <v>0</v>
      </c>
      <c r="AD1285" s="1">
        <f t="shared" si="433"/>
        <v>0</v>
      </c>
      <c r="AE1285" s="1">
        <f t="shared" si="434"/>
        <v>0</v>
      </c>
      <c r="AF1285" s="1">
        <f t="shared" si="435"/>
        <v>0</v>
      </c>
      <c r="AG1285" s="1">
        <f t="shared" si="436"/>
        <v>0</v>
      </c>
      <c r="AH1285" s="1">
        <f t="shared" si="437"/>
        <v>182.5</v>
      </c>
      <c r="AI1285" s="5">
        <f t="shared" si="438"/>
        <v>1.2943262411347518</v>
      </c>
      <c r="AJ1285" s="5">
        <f t="shared" si="439"/>
        <v>0.2588652482269504</v>
      </c>
      <c r="AK1285" s="5">
        <f t="shared" si="440"/>
        <v>0</v>
      </c>
      <c r="AL1285" s="5">
        <f t="shared" si="441"/>
        <v>0</v>
      </c>
      <c r="AM1285" s="5">
        <f t="shared" si="442"/>
        <v>0</v>
      </c>
      <c r="AN1285" s="5">
        <f t="shared" si="443"/>
        <v>0</v>
      </c>
      <c r="AO1285" s="1" t="s">
        <v>102</v>
      </c>
    </row>
    <row r="1286" spans="1:41" x14ac:dyDescent="0.25">
      <c r="A1286" s="1" t="s">
        <v>19</v>
      </c>
      <c r="B1286" s="1" t="s">
        <v>58</v>
      </c>
      <c r="C1286" s="1" t="s">
        <v>21</v>
      </c>
      <c r="D1286" s="1" t="s">
        <v>59</v>
      </c>
      <c r="E1286" s="1" t="s">
        <v>96</v>
      </c>
      <c r="F1286" s="1" t="s">
        <v>103</v>
      </c>
      <c r="G1286" s="1" t="s">
        <v>127</v>
      </c>
      <c r="H1286" s="1" t="s">
        <v>251</v>
      </c>
      <c r="I1286" s="1" t="s">
        <v>100</v>
      </c>
      <c r="J1286" s="1" t="s">
        <v>101</v>
      </c>
      <c r="L1286" s="1">
        <v>2890296</v>
      </c>
      <c r="M1286" s="1" t="s">
        <v>1429</v>
      </c>
      <c r="N1286" s="8">
        <f>DATE(2022,8,1)</f>
        <v>44774</v>
      </c>
      <c r="O1286" s="8">
        <f>DATE(2025,7,18)</f>
        <v>45856</v>
      </c>
      <c r="P1286" s="1">
        <v>2058</v>
      </c>
      <c r="Q1286" s="1">
        <v>1600</v>
      </c>
      <c r="R1286" s="1">
        <f t="shared" si="426"/>
        <v>1600</v>
      </c>
      <c r="S1286" s="1">
        <v>1</v>
      </c>
      <c r="U1286" s="1">
        <f t="shared" si="427"/>
        <v>1083</v>
      </c>
      <c r="V1286" s="7">
        <f t="shared" si="428"/>
        <v>1.4773776546629733</v>
      </c>
      <c r="W1286" s="7">
        <f t="shared" si="429"/>
        <v>539.24284395198526</v>
      </c>
      <c r="X1286" s="7">
        <f t="shared" si="430"/>
        <v>0.67405355493998154</v>
      </c>
      <c r="AA1286" s="8">
        <f t="shared" si="431"/>
        <v>44927</v>
      </c>
      <c r="AB1286" s="8">
        <f t="shared" si="432"/>
        <v>45291</v>
      </c>
      <c r="AC1286" s="1">
        <v>37</v>
      </c>
      <c r="AD1286" s="1">
        <f t="shared" si="433"/>
        <v>365</v>
      </c>
      <c r="AE1286" s="1">
        <f t="shared" si="434"/>
        <v>0</v>
      </c>
      <c r="AF1286" s="1">
        <f t="shared" si="435"/>
        <v>0</v>
      </c>
      <c r="AG1286" s="1">
        <f t="shared" si="436"/>
        <v>0</v>
      </c>
      <c r="AH1286" s="1">
        <f t="shared" si="437"/>
        <v>0</v>
      </c>
      <c r="AI1286" s="5">
        <f t="shared" si="438"/>
        <v>1</v>
      </c>
      <c r="AJ1286" s="5">
        <f t="shared" si="439"/>
        <v>0.67405355493998154</v>
      </c>
      <c r="AK1286" s="5">
        <f t="shared" si="440"/>
        <v>24.939981532779317</v>
      </c>
      <c r="AL1286" s="5">
        <f t="shared" si="441"/>
        <v>24.939981532779317</v>
      </c>
      <c r="AM1286" s="5">
        <f t="shared" si="442"/>
        <v>0</v>
      </c>
      <c r="AN1286" s="5">
        <f t="shared" si="443"/>
        <v>24.939981532779317</v>
      </c>
      <c r="AO1286" s="1" t="s">
        <v>102</v>
      </c>
    </row>
    <row r="1287" spans="1:41" x14ac:dyDescent="0.25">
      <c r="A1287" s="1" t="s">
        <v>19</v>
      </c>
      <c r="B1287" s="1" t="s">
        <v>58</v>
      </c>
      <c r="C1287" s="1" t="s">
        <v>21</v>
      </c>
      <c r="D1287" s="1" t="s">
        <v>59</v>
      </c>
      <c r="E1287" s="1" t="s">
        <v>96</v>
      </c>
      <c r="F1287" s="1" t="s">
        <v>103</v>
      </c>
      <c r="G1287" s="1" t="s">
        <v>114</v>
      </c>
      <c r="H1287" s="1" t="s">
        <v>1390</v>
      </c>
      <c r="I1287" s="1" t="s">
        <v>331</v>
      </c>
      <c r="J1287" s="1" t="s">
        <v>101</v>
      </c>
      <c r="K1287" s="1" t="s">
        <v>116</v>
      </c>
      <c r="L1287" s="1">
        <v>2890869</v>
      </c>
      <c r="M1287" s="1" t="s">
        <v>1430</v>
      </c>
      <c r="N1287" s="8">
        <f>DATE(2022,8,1)</f>
        <v>44774</v>
      </c>
      <c r="O1287" s="8">
        <f>DATE(2025,7,18)</f>
        <v>45856</v>
      </c>
      <c r="P1287" s="1">
        <v>3821</v>
      </c>
      <c r="Q1287" s="1">
        <v>1200</v>
      </c>
      <c r="R1287" s="1">
        <f t="shared" si="426"/>
        <v>3200</v>
      </c>
      <c r="S1287" s="1">
        <v>2</v>
      </c>
      <c r="U1287" s="1">
        <f t="shared" si="427"/>
        <v>1083</v>
      </c>
      <c r="V1287" s="7">
        <f t="shared" si="428"/>
        <v>2.9547553093259467</v>
      </c>
      <c r="W1287" s="7">
        <f t="shared" si="429"/>
        <v>1078.4856879039705</v>
      </c>
      <c r="X1287" s="7">
        <f t="shared" si="430"/>
        <v>1.3481071098799631</v>
      </c>
      <c r="AA1287" s="8">
        <f t="shared" si="431"/>
        <v>44927</v>
      </c>
      <c r="AB1287" s="8">
        <f t="shared" si="432"/>
        <v>45291</v>
      </c>
      <c r="AC1287" s="1">
        <v>26</v>
      </c>
      <c r="AD1287" s="1">
        <f t="shared" si="433"/>
        <v>365</v>
      </c>
      <c r="AE1287" s="1">
        <f t="shared" si="434"/>
        <v>0</v>
      </c>
      <c r="AF1287" s="1">
        <f t="shared" si="435"/>
        <v>0</v>
      </c>
      <c r="AG1287" s="1">
        <f t="shared" si="436"/>
        <v>0</v>
      </c>
      <c r="AH1287" s="1">
        <f t="shared" si="437"/>
        <v>0</v>
      </c>
      <c r="AI1287" s="5">
        <f t="shared" si="438"/>
        <v>1</v>
      </c>
      <c r="AJ1287" s="5">
        <f t="shared" si="439"/>
        <v>1.3481071098799631</v>
      </c>
      <c r="AK1287" s="5">
        <f t="shared" si="440"/>
        <v>35.050784856879041</v>
      </c>
      <c r="AL1287" s="5">
        <f t="shared" si="441"/>
        <v>70.101569713758082</v>
      </c>
      <c r="AM1287" s="5">
        <f t="shared" si="442"/>
        <v>0</v>
      </c>
      <c r="AN1287" s="5">
        <f t="shared" si="443"/>
        <v>70.101569713758082</v>
      </c>
      <c r="AO1287" s="1" t="s">
        <v>102</v>
      </c>
    </row>
    <row r="1288" spans="1:41" x14ac:dyDescent="0.25">
      <c r="A1288" s="1" t="s">
        <v>19</v>
      </c>
      <c r="B1288" s="1" t="s">
        <v>58</v>
      </c>
      <c r="C1288" s="1" t="s">
        <v>21</v>
      </c>
      <c r="D1288" s="1" t="s">
        <v>59</v>
      </c>
      <c r="E1288" s="1" t="s">
        <v>96</v>
      </c>
      <c r="F1288" s="1" t="s">
        <v>103</v>
      </c>
      <c r="G1288" s="1" t="s">
        <v>114</v>
      </c>
      <c r="H1288" s="1" t="s">
        <v>1154</v>
      </c>
      <c r="I1288" s="1" t="s">
        <v>100</v>
      </c>
      <c r="J1288" s="1" t="s">
        <v>101</v>
      </c>
      <c r="K1288" s="1" t="s">
        <v>116</v>
      </c>
      <c r="L1288" s="1">
        <v>2890875</v>
      </c>
      <c r="M1288" s="1" t="s">
        <v>1431</v>
      </c>
      <c r="N1288" s="8">
        <f>DATE(2022,8,1)</f>
        <v>44774</v>
      </c>
      <c r="O1288" s="8">
        <f>DATE(2025,7,18)</f>
        <v>45856</v>
      </c>
      <c r="P1288" s="1">
        <v>3390</v>
      </c>
      <c r="Q1288" s="1">
        <v>800</v>
      </c>
      <c r="R1288" s="1">
        <f t="shared" si="426"/>
        <v>3000</v>
      </c>
      <c r="S1288" s="1">
        <v>1.5</v>
      </c>
      <c r="U1288" s="1">
        <f t="shared" si="427"/>
        <v>1083</v>
      </c>
      <c r="V1288" s="7">
        <f t="shared" si="428"/>
        <v>2.770083102493075</v>
      </c>
      <c r="W1288" s="7">
        <f t="shared" si="429"/>
        <v>1011.0803324099724</v>
      </c>
      <c r="X1288" s="7">
        <f t="shared" si="430"/>
        <v>1.2638504155124655</v>
      </c>
      <c r="AA1288" s="8">
        <f t="shared" si="431"/>
        <v>44927</v>
      </c>
      <c r="AB1288" s="8">
        <f t="shared" si="432"/>
        <v>45291</v>
      </c>
      <c r="AC1288" s="1">
        <v>25</v>
      </c>
      <c r="AD1288" s="1">
        <f t="shared" si="433"/>
        <v>365</v>
      </c>
      <c r="AE1288" s="1">
        <f t="shared" si="434"/>
        <v>0</v>
      </c>
      <c r="AF1288" s="1">
        <f t="shared" si="435"/>
        <v>0</v>
      </c>
      <c r="AG1288" s="1">
        <f t="shared" si="436"/>
        <v>0</v>
      </c>
      <c r="AH1288" s="1">
        <f t="shared" si="437"/>
        <v>0</v>
      </c>
      <c r="AI1288" s="5">
        <f t="shared" si="438"/>
        <v>1</v>
      </c>
      <c r="AJ1288" s="5">
        <f t="shared" si="439"/>
        <v>1.2638504155124655</v>
      </c>
      <c r="AK1288" s="5">
        <f t="shared" si="440"/>
        <v>31.596260387811636</v>
      </c>
      <c r="AL1288" s="5">
        <f t="shared" si="441"/>
        <v>47.394390581717452</v>
      </c>
      <c r="AM1288" s="5">
        <f t="shared" si="442"/>
        <v>0</v>
      </c>
      <c r="AN1288" s="5">
        <f t="shared" si="443"/>
        <v>47.394390581717452</v>
      </c>
      <c r="AO1288" s="1" t="s">
        <v>102</v>
      </c>
    </row>
    <row r="1289" spans="1:41" x14ac:dyDescent="0.25">
      <c r="A1289" s="1" t="s">
        <v>19</v>
      </c>
      <c r="B1289" s="1" t="s">
        <v>58</v>
      </c>
      <c r="C1289" s="1" t="s">
        <v>21</v>
      </c>
      <c r="D1289" s="1" t="s">
        <v>59</v>
      </c>
      <c r="E1289" s="1" t="s">
        <v>96</v>
      </c>
      <c r="F1289" s="1" t="s">
        <v>103</v>
      </c>
      <c r="G1289" s="1" t="s">
        <v>114</v>
      </c>
      <c r="H1289" s="1" t="s">
        <v>569</v>
      </c>
      <c r="I1289" s="1" t="s">
        <v>331</v>
      </c>
      <c r="J1289" s="1" t="s">
        <v>101</v>
      </c>
      <c r="K1289" s="1" t="s">
        <v>116</v>
      </c>
      <c r="L1289" s="1">
        <v>2890878</v>
      </c>
      <c r="M1289" s="1" t="s">
        <v>1432</v>
      </c>
      <c r="N1289" s="8">
        <f>DATE(2022,8,1)</f>
        <v>44774</v>
      </c>
      <c r="O1289" s="8">
        <f>DATE(2025,7,18)</f>
        <v>45856</v>
      </c>
      <c r="P1289" s="1">
        <v>3638</v>
      </c>
      <c r="Q1289" s="1">
        <v>1200</v>
      </c>
      <c r="R1289" s="1">
        <f t="shared" si="426"/>
        <v>3200</v>
      </c>
      <c r="S1289" s="1">
        <v>2.5</v>
      </c>
      <c r="U1289" s="1">
        <f t="shared" si="427"/>
        <v>1083</v>
      </c>
      <c r="V1289" s="7">
        <f t="shared" si="428"/>
        <v>2.9547553093259467</v>
      </c>
      <c r="W1289" s="7">
        <f t="shared" si="429"/>
        <v>1078.4856879039705</v>
      </c>
      <c r="X1289" s="7">
        <f t="shared" si="430"/>
        <v>1.3481071098799631</v>
      </c>
      <c r="AA1289" s="8">
        <f t="shared" si="431"/>
        <v>44927</v>
      </c>
      <c r="AB1289" s="8">
        <f t="shared" si="432"/>
        <v>45291</v>
      </c>
      <c r="AC1289" s="1">
        <v>25</v>
      </c>
      <c r="AD1289" s="1">
        <f t="shared" si="433"/>
        <v>365</v>
      </c>
      <c r="AE1289" s="1">
        <f t="shared" si="434"/>
        <v>0</v>
      </c>
      <c r="AF1289" s="1">
        <f t="shared" si="435"/>
        <v>0</v>
      </c>
      <c r="AG1289" s="1">
        <f t="shared" si="436"/>
        <v>0</v>
      </c>
      <c r="AH1289" s="1">
        <f t="shared" si="437"/>
        <v>0</v>
      </c>
      <c r="AI1289" s="5">
        <f t="shared" si="438"/>
        <v>1</v>
      </c>
      <c r="AJ1289" s="5">
        <f t="shared" si="439"/>
        <v>1.3481071098799631</v>
      </c>
      <c r="AK1289" s="5">
        <f t="shared" si="440"/>
        <v>33.702677746999079</v>
      </c>
      <c r="AL1289" s="5">
        <f t="shared" si="441"/>
        <v>84.256694367497701</v>
      </c>
      <c r="AM1289" s="5">
        <f t="shared" si="442"/>
        <v>0</v>
      </c>
      <c r="AN1289" s="5">
        <f t="shared" si="443"/>
        <v>84.256694367497701</v>
      </c>
      <c r="AO1289" s="1" t="s">
        <v>102</v>
      </c>
    </row>
    <row r="1290" spans="1:41" x14ac:dyDescent="0.25">
      <c r="A1290" s="1" t="s">
        <v>19</v>
      </c>
      <c r="B1290" s="1" t="s">
        <v>58</v>
      </c>
      <c r="C1290" s="1" t="s">
        <v>21</v>
      </c>
      <c r="D1290" s="1" t="s">
        <v>59</v>
      </c>
      <c r="E1290" s="1" t="s">
        <v>96</v>
      </c>
      <c r="F1290" s="1" t="s">
        <v>103</v>
      </c>
      <c r="G1290" s="1" t="s">
        <v>155</v>
      </c>
      <c r="H1290" s="1" t="s">
        <v>1426</v>
      </c>
      <c r="I1290" s="1" t="s">
        <v>174</v>
      </c>
      <c r="J1290" s="1" t="s">
        <v>101</v>
      </c>
      <c r="K1290" s="1" t="s">
        <v>163</v>
      </c>
      <c r="L1290" s="1">
        <v>2904191</v>
      </c>
      <c r="M1290" s="1" t="s">
        <v>1433</v>
      </c>
      <c r="N1290" s="8">
        <f>DATE(2022,8,17)</f>
        <v>44790</v>
      </c>
      <c r="O1290" s="8">
        <f>DATE(2022,12,17)</f>
        <v>44912</v>
      </c>
      <c r="P1290" s="1">
        <v>80</v>
      </c>
      <c r="Q1290" s="1">
        <v>160</v>
      </c>
      <c r="R1290" s="1">
        <f t="shared" si="426"/>
        <v>80</v>
      </c>
      <c r="S1290" s="1">
        <v>1</v>
      </c>
      <c r="U1290" s="1">
        <f t="shared" si="427"/>
        <v>123</v>
      </c>
      <c r="V1290" s="7">
        <f t="shared" si="428"/>
        <v>0.65040650406504064</v>
      </c>
      <c r="W1290" s="7">
        <f t="shared" si="429"/>
        <v>80</v>
      </c>
      <c r="X1290" s="7">
        <f t="shared" si="430"/>
        <v>0.1</v>
      </c>
      <c r="AA1290" s="8">
        <f t="shared" si="431"/>
        <v>44927</v>
      </c>
      <c r="AB1290" s="8">
        <f t="shared" si="432"/>
        <v>45291</v>
      </c>
      <c r="AC1290" s="1">
        <v>16</v>
      </c>
      <c r="AD1290" s="1">
        <f t="shared" si="433"/>
        <v>0</v>
      </c>
      <c r="AE1290" s="1">
        <f t="shared" si="434"/>
        <v>0</v>
      </c>
      <c r="AF1290" s="1">
        <f t="shared" si="435"/>
        <v>0</v>
      </c>
      <c r="AG1290" s="1">
        <f t="shared" si="436"/>
        <v>0</v>
      </c>
      <c r="AH1290" s="1">
        <f t="shared" si="437"/>
        <v>182.5</v>
      </c>
      <c r="AI1290" s="5">
        <f t="shared" si="438"/>
        <v>1.4837398373983739</v>
      </c>
      <c r="AJ1290" s="5">
        <f t="shared" si="439"/>
        <v>0.1483739837398374</v>
      </c>
      <c r="AK1290" s="5">
        <f t="shared" si="440"/>
        <v>1.1869918699186992</v>
      </c>
      <c r="AL1290" s="5">
        <f t="shared" si="441"/>
        <v>1.1869918699186992</v>
      </c>
      <c r="AM1290" s="5">
        <f t="shared" si="442"/>
        <v>0</v>
      </c>
      <c r="AN1290" s="5">
        <f t="shared" si="443"/>
        <v>1.1869918699186992</v>
      </c>
      <c r="AO1290" s="1" t="s">
        <v>102</v>
      </c>
    </row>
    <row r="1291" spans="1:41" x14ac:dyDescent="0.25">
      <c r="A1291" s="1" t="s">
        <v>19</v>
      </c>
      <c r="B1291" s="1" t="s">
        <v>58</v>
      </c>
      <c r="C1291" s="1" t="s">
        <v>21</v>
      </c>
      <c r="D1291" s="1" t="s">
        <v>59</v>
      </c>
      <c r="E1291" s="1" t="s">
        <v>96</v>
      </c>
      <c r="F1291" s="1" t="s">
        <v>103</v>
      </c>
      <c r="G1291" s="1" t="s">
        <v>114</v>
      </c>
      <c r="H1291" s="1" t="s">
        <v>1390</v>
      </c>
      <c r="I1291" s="1" t="s">
        <v>331</v>
      </c>
      <c r="J1291" s="1" t="s">
        <v>101</v>
      </c>
      <c r="K1291" s="1" t="s">
        <v>116</v>
      </c>
      <c r="L1291" s="1">
        <v>2945989</v>
      </c>
      <c r="M1291" s="1" t="s">
        <v>1434</v>
      </c>
      <c r="N1291" s="8">
        <f>DATE(2023,1,31)</f>
        <v>44957</v>
      </c>
      <c r="O1291" s="8">
        <f>DATE(2025,12,31)</f>
        <v>46022</v>
      </c>
      <c r="P1291" s="1">
        <v>3821</v>
      </c>
      <c r="Q1291" s="1">
        <v>1200</v>
      </c>
      <c r="R1291" s="1">
        <f t="shared" si="426"/>
        <v>3200</v>
      </c>
      <c r="S1291" s="1">
        <v>2</v>
      </c>
      <c r="U1291" s="1">
        <f t="shared" si="427"/>
        <v>1066</v>
      </c>
      <c r="V1291" s="7">
        <f t="shared" si="428"/>
        <v>3.0018761726078798</v>
      </c>
      <c r="W1291" s="7">
        <f t="shared" si="429"/>
        <v>1095.6848030018762</v>
      </c>
      <c r="X1291" s="7">
        <f t="shared" si="430"/>
        <v>1.3696060037523452</v>
      </c>
      <c r="AA1291" s="8">
        <f t="shared" si="431"/>
        <v>44927</v>
      </c>
      <c r="AB1291" s="8">
        <f t="shared" si="432"/>
        <v>45291</v>
      </c>
      <c r="AC1291" s="1">
        <v>31</v>
      </c>
      <c r="AD1291" s="1">
        <f t="shared" si="433"/>
        <v>0</v>
      </c>
      <c r="AE1291" s="1">
        <f t="shared" si="434"/>
        <v>335</v>
      </c>
      <c r="AF1291" s="1">
        <f t="shared" si="435"/>
        <v>0</v>
      </c>
      <c r="AG1291" s="1">
        <f t="shared" si="436"/>
        <v>0</v>
      </c>
      <c r="AH1291" s="1">
        <f t="shared" si="437"/>
        <v>0</v>
      </c>
      <c r="AI1291" s="5">
        <f t="shared" si="438"/>
        <v>0.9178082191780822</v>
      </c>
      <c r="AJ1291" s="5">
        <f t="shared" si="439"/>
        <v>1.2570356472795496</v>
      </c>
      <c r="AK1291" s="5">
        <f t="shared" si="440"/>
        <v>38.968105065666037</v>
      </c>
      <c r="AL1291" s="5">
        <f t="shared" si="441"/>
        <v>77.936210131332075</v>
      </c>
      <c r="AM1291" s="5">
        <f t="shared" si="442"/>
        <v>0</v>
      </c>
      <c r="AN1291" s="5">
        <f t="shared" si="443"/>
        <v>77.936210131332075</v>
      </c>
      <c r="AO1291" s="1" t="s">
        <v>102</v>
      </c>
    </row>
    <row r="1292" spans="1:41" x14ac:dyDescent="0.25">
      <c r="A1292" s="1" t="s">
        <v>19</v>
      </c>
      <c r="B1292" s="1" t="s">
        <v>58</v>
      </c>
      <c r="C1292" s="1" t="s">
        <v>21</v>
      </c>
      <c r="D1292" s="1" t="s">
        <v>59</v>
      </c>
      <c r="E1292" s="1" t="s">
        <v>96</v>
      </c>
      <c r="F1292" s="1" t="s">
        <v>103</v>
      </c>
      <c r="G1292" s="1" t="s">
        <v>114</v>
      </c>
      <c r="H1292" s="1" t="s">
        <v>569</v>
      </c>
      <c r="I1292" s="1" t="s">
        <v>331</v>
      </c>
      <c r="J1292" s="1" t="s">
        <v>101</v>
      </c>
      <c r="K1292" s="1" t="s">
        <v>116</v>
      </c>
      <c r="L1292" s="1">
        <v>2945990</v>
      </c>
      <c r="M1292" s="1" t="s">
        <v>1435</v>
      </c>
      <c r="N1292" s="8">
        <f>DATE(2023,1,31)</f>
        <v>44957</v>
      </c>
      <c r="O1292" s="8">
        <f>DATE(2025,12,31)</f>
        <v>46022</v>
      </c>
      <c r="P1292" s="1">
        <v>3638</v>
      </c>
      <c r="Q1292" s="1">
        <v>1200</v>
      </c>
      <c r="R1292" s="1">
        <f t="shared" si="426"/>
        <v>3200</v>
      </c>
      <c r="S1292" s="1">
        <v>2.5</v>
      </c>
      <c r="U1292" s="1">
        <f t="shared" si="427"/>
        <v>1066</v>
      </c>
      <c r="V1292" s="7">
        <f t="shared" si="428"/>
        <v>3.0018761726078798</v>
      </c>
      <c r="W1292" s="7">
        <f t="shared" si="429"/>
        <v>1095.6848030018762</v>
      </c>
      <c r="X1292" s="7">
        <f t="shared" si="430"/>
        <v>1.3696060037523452</v>
      </c>
      <c r="AA1292" s="8">
        <f t="shared" si="431"/>
        <v>44927</v>
      </c>
      <c r="AB1292" s="8">
        <f t="shared" si="432"/>
        <v>45291</v>
      </c>
      <c r="AC1292" s="1">
        <v>28</v>
      </c>
      <c r="AD1292" s="1">
        <f t="shared" si="433"/>
        <v>0</v>
      </c>
      <c r="AE1292" s="1">
        <f t="shared" si="434"/>
        <v>335</v>
      </c>
      <c r="AF1292" s="1">
        <f t="shared" si="435"/>
        <v>0</v>
      </c>
      <c r="AG1292" s="1">
        <f t="shared" si="436"/>
        <v>0</v>
      </c>
      <c r="AH1292" s="1">
        <f t="shared" si="437"/>
        <v>0</v>
      </c>
      <c r="AI1292" s="5">
        <f t="shared" si="438"/>
        <v>0.9178082191780822</v>
      </c>
      <c r="AJ1292" s="5">
        <f t="shared" si="439"/>
        <v>1.2570356472795496</v>
      </c>
      <c r="AK1292" s="5">
        <f t="shared" si="440"/>
        <v>35.196998123827392</v>
      </c>
      <c r="AL1292" s="5">
        <f t="shared" si="441"/>
        <v>87.992495309568483</v>
      </c>
      <c r="AM1292" s="5">
        <f t="shared" si="442"/>
        <v>0</v>
      </c>
      <c r="AN1292" s="5">
        <f t="shared" si="443"/>
        <v>87.992495309568483</v>
      </c>
      <c r="AO1292" s="1" t="s">
        <v>102</v>
      </c>
    </row>
    <row r="1293" spans="1:41" x14ac:dyDescent="0.25">
      <c r="A1293" s="1" t="s">
        <v>19</v>
      </c>
      <c r="B1293" s="1" t="s">
        <v>58</v>
      </c>
      <c r="C1293" s="1" t="s">
        <v>21</v>
      </c>
      <c r="D1293" s="1" t="s">
        <v>59</v>
      </c>
      <c r="E1293" s="1" t="s">
        <v>96</v>
      </c>
      <c r="F1293" s="1" t="s">
        <v>103</v>
      </c>
      <c r="G1293" s="1" t="s">
        <v>114</v>
      </c>
      <c r="H1293" s="1" t="s">
        <v>1154</v>
      </c>
      <c r="I1293" s="1" t="s">
        <v>100</v>
      </c>
      <c r="J1293" s="1" t="s">
        <v>101</v>
      </c>
      <c r="K1293" s="1" t="s">
        <v>116</v>
      </c>
      <c r="L1293" s="1">
        <v>2945991</v>
      </c>
      <c r="M1293" s="1" t="s">
        <v>1436</v>
      </c>
      <c r="N1293" s="8">
        <f>DATE(2023,1,31)</f>
        <v>44957</v>
      </c>
      <c r="O1293" s="8">
        <f>DATE(2025,12,31)</f>
        <v>46022</v>
      </c>
      <c r="P1293" s="1">
        <v>3390</v>
      </c>
      <c r="Q1293" s="1">
        <v>800</v>
      </c>
      <c r="R1293" s="1">
        <f t="shared" si="426"/>
        <v>3000</v>
      </c>
      <c r="S1293" s="1">
        <v>1.5</v>
      </c>
      <c r="U1293" s="1">
        <f t="shared" si="427"/>
        <v>1066</v>
      </c>
      <c r="V1293" s="7">
        <f t="shared" si="428"/>
        <v>2.8142589118198873</v>
      </c>
      <c r="W1293" s="7">
        <f t="shared" si="429"/>
        <v>1027.2045028142588</v>
      </c>
      <c r="X1293" s="7">
        <f t="shared" si="430"/>
        <v>1.2840056285178236</v>
      </c>
      <c r="AA1293" s="8">
        <f t="shared" si="431"/>
        <v>44927</v>
      </c>
      <c r="AB1293" s="8">
        <f t="shared" si="432"/>
        <v>45291</v>
      </c>
      <c r="AC1293" s="1">
        <v>29</v>
      </c>
      <c r="AD1293" s="1">
        <f t="shared" si="433"/>
        <v>0</v>
      </c>
      <c r="AE1293" s="1">
        <f t="shared" si="434"/>
        <v>335</v>
      </c>
      <c r="AF1293" s="1">
        <f t="shared" si="435"/>
        <v>0</v>
      </c>
      <c r="AG1293" s="1">
        <f t="shared" si="436"/>
        <v>0</v>
      </c>
      <c r="AH1293" s="1">
        <f t="shared" si="437"/>
        <v>0</v>
      </c>
      <c r="AI1293" s="5">
        <f t="shared" si="438"/>
        <v>0.9178082191780822</v>
      </c>
      <c r="AJ1293" s="5">
        <f t="shared" si="439"/>
        <v>1.1784709193245779</v>
      </c>
      <c r="AK1293" s="5">
        <f t="shared" si="440"/>
        <v>34.175656660412763</v>
      </c>
      <c r="AL1293" s="5">
        <f t="shared" si="441"/>
        <v>51.263484990619148</v>
      </c>
      <c r="AM1293" s="5">
        <f t="shared" si="442"/>
        <v>0</v>
      </c>
      <c r="AN1293" s="5">
        <f t="shared" si="443"/>
        <v>51.263484990619148</v>
      </c>
      <c r="AO1293" s="1" t="s">
        <v>102</v>
      </c>
    </row>
    <row r="1294" spans="1:41" x14ac:dyDescent="0.25">
      <c r="A1294" s="1" t="s">
        <v>19</v>
      </c>
      <c r="B1294" s="1" t="s">
        <v>58</v>
      </c>
      <c r="C1294" s="1" t="s">
        <v>21</v>
      </c>
      <c r="D1294" s="1" t="s">
        <v>59</v>
      </c>
      <c r="E1294" s="1" t="s">
        <v>96</v>
      </c>
      <c r="F1294" s="1" t="s">
        <v>103</v>
      </c>
      <c r="G1294" s="1" t="s">
        <v>127</v>
      </c>
      <c r="H1294" s="1" t="s">
        <v>251</v>
      </c>
      <c r="I1294" s="1" t="s">
        <v>100</v>
      </c>
      <c r="J1294" s="1" t="s">
        <v>101</v>
      </c>
      <c r="L1294" s="1">
        <v>2946137</v>
      </c>
      <c r="M1294" s="1" t="s">
        <v>1437</v>
      </c>
      <c r="N1294" s="8">
        <f>DATE(2023,1,31)</f>
        <v>44957</v>
      </c>
      <c r="O1294" s="8">
        <f>DATE(2025,12,31)</f>
        <v>46022</v>
      </c>
      <c r="P1294" s="1">
        <v>2058</v>
      </c>
      <c r="Q1294" s="1">
        <v>1600</v>
      </c>
      <c r="R1294" s="1">
        <f t="shared" si="426"/>
        <v>1600</v>
      </c>
      <c r="S1294" s="1">
        <v>1</v>
      </c>
      <c r="U1294" s="1">
        <f t="shared" si="427"/>
        <v>1066</v>
      </c>
      <c r="V1294" s="7">
        <f t="shared" si="428"/>
        <v>1.5009380863039399</v>
      </c>
      <c r="W1294" s="7">
        <f t="shared" si="429"/>
        <v>547.84240150093808</v>
      </c>
      <c r="X1294" s="7">
        <f t="shared" si="430"/>
        <v>0.6848030018761726</v>
      </c>
      <c r="AA1294" s="8">
        <f t="shared" si="431"/>
        <v>44927</v>
      </c>
      <c r="AB1294" s="8">
        <f t="shared" si="432"/>
        <v>45291</v>
      </c>
      <c r="AC1294" s="1">
        <v>33</v>
      </c>
      <c r="AD1294" s="1">
        <f t="shared" si="433"/>
        <v>0</v>
      </c>
      <c r="AE1294" s="1">
        <f t="shared" si="434"/>
        <v>335</v>
      </c>
      <c r="AF1294" s="1">
        <f t="shared" si="435"/>
        <v>0</v>
      </c>
      <c r="AG1294" s="1">
        <f t="shared" si="436"/>
        <v>0</v>
      </c>
      <c r="AH1294" s="1">
        <f t="shared" si="437"/>
        <v>0</v>
      </c>
      <c r="AI1294" s="5">
        <f t="shared" si="438"/>
        <v>0.9178082191780822</v>
      </c>
      <c r="AJ1294" s="5">
        <f t="shared" si="439"/>
        <v>0.62851782363977482</v>
      </c>
      <c r="AK1294" s="5">
        <f t="shared" si="440"/>
        <v>20.74108818011257</v>
      </c>
      <c r="AL1294" s="5">
        <f t="shared" si="441"/>
        <v>20.74108818011257</v>
      </c>
      <c r="AM1294" s="5">
        <f t="shared" si="442"/>
        <v>0</v>
      </c>
      <c r="AN1294" s="5">
        <f t="shared" si="443"/>
        <v>20.74108818011257</v>
      </c>
      <c r="AO1294" s="1" t="s">
        <v>102</v>
      </c>
    </row>
    <row r="1295" spans="1:41" x14ac:dyDescent="0.25">
      <c r="A1295" s="1" t="s">
        <v>19</v>
      </c>
      <c r="B1295" s="1" t="s">
        <v>58</v>
      </c>
      <c r="C1295" s="1" t="s">
        <v>21</v>
      </c>
      <c r="D1295" s="1" t="s">
        <v>59</v>
      </c>
      <c r="E1295" s="1" t="s">
        <v>172</v>
      </c>
      <c r="F1295" s="1" t="s">
        <v>103</v>
      </c>
      <c r="G1295" s="1" t="s">
        <v>114</v>
      </c>
      <c r="H1295" s="1" t="s">
        <v>177</v>
      </c>
      <c r="I1295" s="1" t="s">
        <v>174</v>
      </c>
      <c r="J1295" s="1" t="s">
        <v>101</v>
      </c>
      <c r="K1295" s="1" t="s">
        <v>175</v>
      </c>
      <c r="L1295" s="1">
        <v>2962863</v>
      </c>
      <c r="M1295" s="1" t="s">
        <v>1438</v>
      </c>
      <c r="N1295" s="8">
        <f>DATE(2023,4,2)</f>
        <v>45018</v>
      </c>
      <c r="O1295" s="8">
        <f>DATE(2024,10,31)</f>
        <v>45596</v>
      </c>
      <c r="P1295" s="1">
        <v>1200</v>
      </c>
      <c r="Q1295" s="1">
        <v>1200</v>
      </c>
      <c r="R1295" s="1">
        <f t="shared" si="426"/>
        <v>1200</v>
      </c>
      <c r="S1295" s="1">
        <v>1</v>
      </c>
      <c r="U1295" s="1">
        <f t="shared" si="427"/>
        <v>579</v>
      </c>
      <c r="V1295" s="7">
        <f t="shared" si="428"/>
        <v>2.0725388601036268</v>
      </c>
      <c r="W1295" s="7">
        <f t="shared" si="429"/>
        <v>756.47668393782374</v>
      </c>
      <c r="X1295" s="7">
        <f t="shared" si="430"/>
        <v>0.94559585492227971</v>
      </c>
      <c r="AA1295" s="8">
        <f t="shared" si="431"/>
        <v>44927</v>
      </c>
      <c r="AB1295" s="8">
        <f t="shared" si="432"/>
        <v>45291</v>
      </c>
      <c r="AC1295" s="1">
        <v>47</v>
      </c>
      <c r="AD1295" s="1">
        <f t="shared" si="433"/>
        <v>0</v>
      </c>
      <c r="AE1295" s="1">
        <f t="shared" si="434"/>
        <v>274</v>
      </c>
      <c r="AF1295" s="1">
        <f t="shared" si="435"/>
        <v>0</v>
      </c>
      <c r="AG1295" s="1">
        <f t="shared" si="436"/>
        <v>0</v>
      </c>
      <c r="AH1295" s="1">
        <f t="shared" si="437"/>
        <v>0</v>
      </c>
      <c r="AI1295" s="5">
        <f t="shared" si="438"/>
        <v>0.75068493150684934</v>
      </c>
      <c r="AJ1295" s="5">
        <f t="shared" si="439"/>
        <v>0.7098445595854922</v>
      </c>
      <c r="AK1295" s="5">
        <f t="shared" si="440"/>
        <v>33.362694300518136</v>
      </c>
      <c r="AL1295" s="5">
        <f t="shared" si="441"/>
        <v>33.362694300518136</v>
      </c>
      <c r="AM1295" s="5">
        <f t="shared" si="442"/>
        <v>0</v>
      </c>
      <c r="AN1295" s="5">
        <f t="shared" si="443"/>
        <v>33.362694300518136</v>
      </c>
      <c r="AO1295" s="1" t="s">
        <v>122</v>
      </c>
    </row>
    <row r="1296" spans="1:41" x14ac:dyDescent="0.25">
      <c r="A1296" s="1" t="s">
        <v>19</v>
      </c>
      <c r="B1296" s="1" t="s">
        <v>58</v>
      </c>
      <c r="C1296" s="1" t="s">
        <v>21</v>
      </c>
      <c r="D1296" s="1" t="s">
        <v>59</v>
      </c>
      <c r="E1296" s="1" t="s">
        <v>172</v>
      </c>
      <c r="F1296" s="1" t="s">
        <v>103</v>
      </c>
      <c r="G1296" s="1" t="s">
        <v>114</v>
      </c>
      <c r="H1296" s="1" t="s">
        <v>173</v>
      </c>
      <c r="I1296" s="1" t="s">
        <v>174</v>
      </c>
      <c r="J1296" s="1" t="s">
        <v>101</v>
      </c>
      <c r="K1296" s="1" t="s">
        <v>175</v>
      </c>
      <c r="L1296" s="1">
        <v>2958711</v>
      </c>
      <c r="M1296" s="1" t="s">
        <v>345</v>
      </c>
      <c r="N1296" s="8">
        <f>DATE(2023,4,3)</f>
        <v>45019</v>
      </c>
      <c r="O1296" s="8">
        <f>DATE(2024,10,31)</f>
        <v>45596</v>
      </c>
      <c r="P1296" s="1">
        <v>1200</v>
      </c>
      <c r="Q1296" s="1">
        <v>1200</v>
      </c>
      <c r="R1296" s="1">
        <f t="shared" si="426"/>
        <v>1200</v>
      </c>
      <c r="S1296" s="1">
        <v>2</v>
      </c>
      <c r="U1296" s="1">
        <f t="shared" si="427"/>
        <v>578</v>
      </c>
      <c r="V1296" s="7">
        <f t="shared" si="428"/>
        <v>2.0761245674740483</v>
      </c>
      <c r="W1296" s="7">
        <f t="shared" si="429"/>
        <v>757.78546712802768</v>
      </c>
      <c r="X1296" s="7">
        <f t="shared" si="430"/>
        <v>0.94723183391003463</v>
      </c>
      <c r="AA1296" s="8">
        <f t="shared" si="431"/>
        <v>44927</v>
      </c>
      <c r="AB1296" s="8">
        <f t="shared" si="432"/>
        <v>45291</v>
      </c>
      <c r="AC1296" s="1">
        <v>40</v>
      </c>
      <c r="AD1296" s="1">
        <f t="shared" si="433"/>
        <v>0</v>
      </c>
      <c r="AE1296" s="1">
        <f t="shared" si="434"/>
        <v>273</v>
      </c>
      <c r="AF1296" s="1">
        <f t="shared" si="435"/>
        <v>0</v>
      </c>
      <c r="AG1296" s="1">
        <f t="shared" si="436"/>
        <v>0</v>
      </c>
      <c r="AH1296" s="1">
        <f t="shared" si="437"/>
        <v>0</v>
      </c>
      <c r="AI1296" s="5">
        <f t="shared" si="438"/>
        <v>0.74794520547945209</v>
      </c>
      <c r="AJ1296" s="5">
        <f t="shared" si="439"/>
        <v>0.70847750865051906</v>
      </c>
      <c r="AK1296" s="5">
        <f t="shared" si="440"/>
        <v>28.339100346020764</v>
      </c>
      <c r="AL1296" s="5">
        <f t="shared" si="441"/>
        <v>56.678200692041528</v>
      </c>
      <c r="AM1296" s="5">
        <f t="shared" si="442"/>
        <v>0</v>
      </c>
      <c r="AN1296" s="5">
        <f t="shared" si="443"/>
        <v>56.678200692041528</v>
      </c>
      <c r="AO1296" s="1" t="s">
        <v>122</v>
      </c>
    </row>
    <row r="1297" spans="1:41" x14ac:dyDescent="0.25">
      <c r="A1297" s="1" t="s">
        <v>19</v>
      </c>
      <c r="B1297" s="1" t="s">
        <v>58</v>
      </c>
      <c r="C1297" s="1" t="s">
        <v>21</v>
      </c>
      <c r="D1297" s="1" t="s">
        <v>59</v>
      </c>
      <c r="E1297" s="1" t="s">
        <v>172</v>
      </c>
      <c r="F1297" s="1" t="s">
        <v>103</v>
      </c>
      <c r="G1297" s="1" t="s">
        <v>114</v>
      </c>
      <c r="H1297" s="1" t="s">
        <v>177</v>
      </c>
      <c r="I1297" s="1" t="s">
        <v>174</v>
      </c>
      <c r="J1297" s="1" t="s">
        <v>101</v>
      </c>
      <c r="K1297" s="1" t="s">
        <v>175</v>
      </c>
      <c r="L1297" s="1">
        <v>2958718</v>
      </c>
      <c r="M1297" s="1" t="s">
        <v>346</v>
      </c>
      <c r="N1297" s="8">
        <f>DATE(2023,4,3)</f>
        <v>45019</v>
      </c>
      <c r="O1297" s="8">
        <f>DATE(2024,10,31)</f>
        <v>45596</v>
      </c>
      <c r="P1297" s="1">
        <v>1200</v>
      </c>
      <c r="Q1297" s="1">
        <v>1200</v>
      </c>
      <c r="R1297" s="1">
        <f t="shared" si="426"/>
        <v>1200</v>
      </c>
      <c r="S1297" s="1">
        <v>1</v>
      </c>
      <c r="U1297" s="1">
        <f t="shared" si="427"/>
        <v>578</v>
      </c>
      <c r="V1297" s="7">
        <f t="shared" si="428"/>
        <v>2.0761245674740483</v>
      </c>
      <c r="W1297" s="7">
        <f t="shared" si="429"/>
        <v>757.78546712802768</v>
      </c>
      <c r="X1297" s="7">
        <f t="shared" si="430"/>
        <v>0.94723183391003463</v>
      </c>
      <c r="AA1297" s="8">
        <f t="shared" si="431"/>
        <v>44927</v>
      </c>
      <c r="AB1297" s="8">
        <f t="shared" si="432"/>
        <v>45291</v>
      </c>
      <c r="AC1297" s="1">
        <v>50</v>
      </c>
      <c r="AD1297" s="1">
        <f t="shared" si="433"/>
        <v>0</v>
      </c>
      <c r="AE1297" s="1">
        <f t="shared" si="434"/>
        <v>273</v>
      </c>
      <c r="AF1297" s="1">
        <f t="shared" si="435"/>
        <v>0</v>
      </c>
      <c r="AG1297" s="1">
        <f t="shared" si="436"/>
        <v>0</v>
      </c>
      <c r="AH1297" s="1">
        <f t="shared" si="437"/>
        <v>0</v>
      </c>
      <c r="AI1297" s="5">
        <f t="shared" si="438"/>
        <v>0.74794520547945209</v>
      </c>
      <c r="AJ1297" s="5">
        <f t="shared" si="439"/>
        <v>0.70847750865051906</v>
      </c>
      <c r="AK1297" s="5">
        <f t="shared" si="440"/>
        <v>35.423875432525953</v>
      </c>
      <c r="AL1297" s="5">
        <f t="shared" si="441"/>
        <v>35.423875432525953</v>
      </c>
      <c r="AM1297" s="5">
        <f t="shared" si="442"/>
        <v>0</v>
      </c>
      <c r="AN1297" s="5">
        <f t="shared" si="443"/>
        <v>35.423875432525953</v>
      </c>
      <c r="AO1297" s="1" t="s">
        <v>122</v>
      </c>
    </row>
    <row r="1298" spans="1:41" x14ac:dyDescent="0.25">
      <c r="A1298" s="1" t="s">
        <v>19</v>
      </c>
      <c r="B1298" s="1" t="s">
        <v>58</v>
      </c>
      <c r="C1298" s="1" t="s">
        <v>21</v>
      </c>
      <c r="D1298" s="1" t="s">
        <v>59</v>
      </c>
      <c r="E1298" s="1" t="s">
        <v>172</v>
      </c>
      <c r="F1298" s="1" t="s">
        <v>103</v>
      </c>
      <c r="G1298" s="1" t="s">
        <v>114</v>
      </c>
      <c r="H1298" s="1" t="s">
        <v>179</v>
      </c>
      <c r="I1298" s="1" t="s">
        <v>174</v>
      </c>
      <c r="J1298" s="1" t="s">
        <v>101</v>
      </c>
      <c r="K1298" s="1" t="s">
        <v>175</v>
      </c>
      <c r="L1298" s="1">
        <v>2958719</v>
      </c>
      <c r="M1298" s="1" t="s">
        <v>347</v>
      </c>
      <c r="N1298" s="8">
        <f>DATE(2023,4,3)</f>
        <v>45019</v>
      </c>
      <c r="O1298" s="8">
        <f>DATE(2024,10,31)</f>
        <v>45596</v>
      </c>
      <c r="P1298" s="1">
        <v>1200</v>
      </c>
      <c r="Q1298" s="1">
        <v>800</v>
      </c>
      <c r="R1298" s="1">
        <f t="shared" si="426"/>
        <v>800</v>
      </c>
      <c r="S1298" s="1">
        <v>1.5</v>
      </c>
      <c r="U1298" s="1">
        <f t="shared" si="427"/>
        <v>578</v>
      </c>
      <c r="V1298" s="7">
        <f t="shared" si="428"/>
        <v>1.3840830449826989</v>
      </c>
      <c r="W1298" s="7">
        <f t="shared" si="429"/>
        <v>505.1903114186851</v>
      </c>
      <c r="X1298" s="7">
        <f t="shared" si="430"/>
        <v>0.63148788927335642</v>
      </c>
      <c r="AA1298" s="8">
        <f t="shared" si="431"/>
        <v>44927</v>
      </c>
      <c r="AB1298" s="8">
        <f t="shared" si="432"/>
        <v>45291</v>
      </c>
      <c r="AC1298" s="1">
        <v>33</v>
      </c>
      <c r="AD1298" s="1">
        <f t="shared" si="433"/>
        <v>0</v>
      </c>
      <c r="AE1298" s="1">
        <f t="shared" si="434"/>
        <v>273</v>
      </c>
      <c r="AF1298" s="1">
        <f t="shared" si="435"/>
        <v>0</v>
      </c>
      <c r="AG1298" s="1">
        <f t="shared" si="436"/>
        <v>0</v>
      </c>
      <c r="AH1298" s="1">
        <f t="shared" si="437"/>
        <v>0</v>
      </c>
      <c r="AI1298" s="5">
        <f t="shared" si="438"/>
        <v>0.74794520547945209</v>
      </c>
      <c r="AJ1298" s="5">
        <f t="shared" si="439"/>
        <v>0.47231833910034604</v>
      </c>
      <c r="AK1298" s="5">
        <f t="shared" si="440"/>
        <v>15.586505190311419</v>
      </c>
      <c r="AL1298" s="5">
        <f t="shared" si="441"/>
        <v>23.379757785467127</v>
      </c>
      <c r="AM1298" s="5">
        <f t="shared" si="442"/>
        <v>0</v>
      </c>
      <c r="AN1298" s="5">
        <f t="shared" si="443"/>
        <v>23.379757785467127</v>
      </c>
      <c r="AO1298" s="1" t="s">
        <v>122</v>
      </c>
    </row>
    <row r="1299" spans="1:41" x14ac:dyDescent="0.25">
      <c r="A1299" s="1" t="s">
        <v>19</v>
      </c>
      <c r="B1299" s="1" t="s">
        <v>58</v>
      </c>
      <c r="C1299" s="1" t="s">
        <v>21</v>
      </c>
      <c r="D1299" s="1" t="s">
        <v>59</v>
      </c>
      <c r="E1299" s="1" t="s">
        <v>96</v>
      </c>
      <c r="F1299" s="1" t="s">
        <v>103</v>
      </c>
      <c r="G1299" s="1" t="s">
        <v>155</v>
      </c>
      <c r="H1299" s="1" t="s">
        <v>418</v>
      </c>
      <c r="I1299" s="1" t="s">
        <v>174</v>
      </c>
      <c r="J1299" s="1" t="s">
        <v>101</v>
      </c>
      <c r="K1299" s="1" t="s">
        <v>183</v>
      </c>
      <c r="L1299" s="1">
        <v>2996520</v>
      </c>
      <c r="M1299" s="1" t="s">
        <v>1439</v>
      </c>
      <c r="N1299" s="8">
        <f>DATE(2023,6,14)</f>
        <v>45091</v>
      </c>
      <c r="O1299" s="8">
        <f>DATE(2023,10,16)</f>
        <v>45215</v>
      </c>
      <c r="P1299" s="1">
        <v>80</v>
      </c>
      <c r="Q1299" s="1">
        <v>160</v>
      </c>
      <c r="R1299" s="1">
        <f t="shared" si="426"/>
        <v>80</v>
      </c>
      <c r="S1299" s="1">
        <v>2.5</v>
      </c>
      <c r="U1299" s="1">
        <f t="shared" si="427"/>
        <v>125</v>
      </c>
      <c r="V1299" s="7">
        <f t="shared" si="428"/>
        <v>0.64</v>
      </c>
      <c r="W1299" s="7">
        <f t="shared" si="429"/>
        <v>80</v>
      </c>
      <c r="X1299" s="7">
        <f t="shared" si="430"/>
        <v>0.1</v>
      </c>
      <c r="AA1299" s="8">
        <f t="shared" si="431"/>
        <v>44927</v>
      </c>
      <c r="AB1299" s="8">
        <f t="shared" si="432"/>
        <v>45291</v>
      </c>
      <c r="AC1299" s="1">
        <v>60</v>
      </c>
      <c r="AD1299" s="1">
        <f t="shared" si="433"/>
        <v>0</v>
      </c>
      <c r="AE1299" s="1">
        <f t="shared" si="434"/>
        <v>0</v>
      </c>
      <c r="AF1299" s="1">
        <f t="shared" si="435"/>
        <v>0</v>
      </c>
      <c r="AG1299" s="1">
        <f t="shared" si="436"/>
        <v>125</v>
      </c>
      <c r="AH1299" s="1">
        <f t="shared" si="437"/>
        <v>0</v>
      </c>
      <c r="AI1299" s="5">
        <f t="shared" si="438"/>
        <v>1</v>
      </c>
      <c r="AJ1299" s="5">
        <f t="shared" si="439"/>
        <v>0.1</v>
      </c>
      <c r="AK1299" s="5">
        <f t="shared" si="440"/>
        <v>6</v>
      </c>
      <c r="AL1299" s="5">
        <f t="shared" si="441"/>
        <v>15</v>
      </c>
      <c r="AM1299" s="5">
        <f t="shared" si="442"/>
        <v>0</v>
      </c>
      <c r="AN1299" s="5">
        <f t="shared" si="443"/>
        <v>15</v>
      </c>
      <c r="AO1299" s="1" t="s">
        <v>102</v>
      </c>
    </row>
    <row r="1300" spans="1:41" x14ac:dyDescent="0.25">
      <c r="A1300" s="1" t="s">
        <v>19</v>
      </c>
      <c r="B1300" s="1" t="s">
        <v>58</v>
      </c>
      <c r="C1300" s="1" t="s">
        <v>21</v>
      </c>
      <c r="D1300" s="1" t="s">
        <v>59</v>
      </c>
      <c r="E1300" s="1" t="s">
        <v>96</v>
      </c>
      <c r="F1300" s="1" t="s">
        <v>103</v>
      </c>
      <c r="G1300" s="1" t="s">
        <v>127</v>
      </c>
      <c r="H1300" s="1" t="s">
        <v>251</v>
      </c>
      <c r="I1300" s="1" t="s">
        <v>100</v>
      </c>
      <c r="J1300" s="1" t="s">
        <v>101</v>
      </c>
      <c r="L1300" s="1">
        <v>3009924</v>
      </c>
      <c r="M1300" s="1" t="s">
        <v>1440</v>
      </c>
      <c r="N1300" s="8">
        <f>DATE(2023,7,31)</f>
        <v>45138</v>
      </c>
      <c r="O1300" s="8">
        <f>DATE(2026,7,31)</f>
        <v>46234</v>
      </c>
      <c r="P1300" s="1">
        <v>3390</v>
      </c>
      <c r="Q1300" s="1">
        <v>1600</v>
      </c>
      <c r="R1300" s="1">
        <f t="shared" si="426"/>
        <v>1600</v>
      </c>
      <c r="S1300" s="1">
        <v>1</v>
      </c>
      <c r="U1300" s="1">
        <f t="shared" si="427"/>
        <v>1097</v>
      </c>
      <c r="V1300" s="7">
        <f t="shared" si="428"/>
        <v>1.4585232452142205</v>
      </c>
      <c r="W1300" s="7">
        <f t="shared" si="429"/>
        <v>532.36098450319048</v>
      </c>
      <c r="X1300" s="7">
        <f t="shared" si="430"/>
        <v>0.66545123062898814</v>
      </c>
      <c r="AA1300" s="8">
        <f t="shared" si="431"/>
        <v>44927</v>
      </c>
      <c r="AB1300" s="8">
        <f t="shared" si="432"/>
        <v>45291</v>
      </c>
      <c r="AC1300" s="1">
        <v>36</v>
      </c>
      <c r="AD1300" s="1">
        <f t="shared" si="433"/>
        <v>0</v>
      </c>
      <c r="AE1300" s="1">
        <f t="shared" si="434"/>
        <v>154</v>
      </c>
      <c r="AF1300" s="1">
        <f t="shared" si="435"/>
        <v>0</v>
      </c>
      <c r="AG1300" s="1">
        <f t="shared" si="436"/>
        <v>0</v>
      </c>
      <c r="AH1300" s="1">
        <f t="shared" si="437"/>
        <v>0</v>
      </c>
      <c r="AI1300" s="5">
        <f t="shared" si="438"/>
        <v>0.42191780821917807</v>
      </c>
      <c r="AJ1300" s="5">
        <f t="shared" si="439"/>
        <v>0.28076572470373745</v>
      </c>
      <c r="AK1300" s="5">
        <f t="shared" si="440"/>
        <v>10.107566089334549</v>
      </c>
      <c r="AL1300" s="5">
        <f t="shared" si="441"/>
        <v>10.107566089334549</v>
      </c>
      <c r="AM1300" s="5">
        <f t="shared" si="442"/>
        <v>0</v>
      </c>
      <c r="AN1300" s="5">
        <f t="shared" si="443"/>
        <v>10.107566089334549</v>
      </c>
      <c r="AO1300" s="1" t="s">
        <v>102</v>
      </c>
    </row>
    <row r="1301" spans="1:41" x14ac:dyDescent="0.25">
      <c r="A1301" s="1" t="s">
        <v>19</v>
      </c>
      <c r="B1301" s="1" t="s">
        <v>58</v>
      </c>
      <c r="C1301" s="1" t="s">
        <v>21</v>
      </c>
      <c r="D1301" s="1" t="s">
        <v>59</v>
      </c>
      <c r="E1301" s="1" t="s">
        <v>96</v>
      </c>
      <c r="F1301" s="1" t="s">
        <v>103</v>
      </c>
      <c r="G1301" s="1" t="s">
        <v>114</v>
      </c>
      <c r="H1301" s="1" t="s">
        <v>1390</v>
      </c>
      <c r="I1301" s="1" t="s">
        <v>331</v>
      </c>
      <c r="J1301" s="1" t="s">
        <v>101</v>
      </c>
      <c r="K1301" s="1" t="s">
        <v>116</v>
      </c>
      <c r="L1301" s="1">
        <v>3009929</v>
      </c>
      <c r="M1301" s="1" t="s">
        <v>1441</v>
      </c>
      <c r="N1301" s="8">
        <f>DATE(2023,7,31)</f>
        <v>45138</v>
      </c>
      <c r="O1301" s="8">
        <f>DATE(2026,7,31)</f>
        <v>46234</v>
      </c>
      <c r="P1301" s="1">
        <v>3821</v>
      </c>
      <c r="Q1301" s="1">
        <v>1200</v>
      </c>
      <c r="R1301" s="1">
        <f t="shared" si="426"/>
        <v>3200</v>
      </c>
      <c r="S1301" s="1">
        <v>2</v>
      </c>
      <c r="U1301" s="1">
        <f t="shared" si="427"/>
        <v>1097</v>
      </c>
      <c r="V1301" s="7">
        <f t="shared" si="428"/>
        <v>2.917046490428441</v>
      </c>
      <c r="W1301" s="7">
        <f t="shared" si="429"/>
        <v>1064.721969006381</v>
      </c>
      <c r="X1301" s="7">
        <f t="shared" si="430"/>
        <v>1.3309024612579763</v>
      </c>
      <c r="AA1301" s="8">
        <f t="shared" si="431"/>
        <v>44927</v>
      </c>
      <c r="AB1301" s="8">
        <f t="shared" si="432"/>
        <v>45291</v>
      </c>
      <c r="AC1301" s="1">
        <v>30</v>
      </c>
      <c r="AD1301" s="1">
        <f t="shared" si="433"/>
        <v>0</v>
      </c>
      <c r="AE1301" s="1">
        <f t="shared" si="434"/>
        <v>154</v>
      </c>
      <c r="AF1301" s="1">
        <f t="shared" si="435"/>
        <v>0</v>
      </c>
      <c r="AG1301" s="1">
        <f t="shared" si="436"/>
        <v>0</v>
      </c>
      <c r="AH1301" s="1">
        <f t="shared" si="437"/>
        <v>0</v>
      </c>
      <c r="AI1301" s="5">
        <f t="shared" si="438"/>
        <v>0.42191780821917807</v>
      </c>
      <c r="AJ1301" s="5">
        <f t="shared" si="439"/>
        <v>0.5615314494074749</v>
      </c>
      <c r="AK1301" s="5">
        <f t="shared" si="440"/>
        <v>16.845943482224246</v>
      </c>
      <c r="AL1301" s="5">
        <f t="shared" si="441"/>
        <v>33.691886964448493</v>
      </c>
      <c r="AM1301" s="5">
        <f t="shared" si="442"/>
        <v>0</v>
      </c>
      <c r="AN1301" s="5">
        <f t="shared" si="443"/>
        <v>33.691886964448493</v>
      </c>
      <c r="AO1301" s="1" t="s">
        <v>102</v>
      </c>
    </row>
    <row r="1302" spans="1:41" x14ac:dyDescent="0.25">
      <c r="A1302" s="1" t="s">
        <v>19</v>
      </c>
      <c r="B1302" s="1" t="s">
        <v>58</v>
      </c>
      <c r="C1302" s="1" t="s">
        <v>21</v>
      </c>
      <c r="D1302" s="1" t="s">
        <v>59</v>
      </c>
      <c r="E1302" s="1" t="s">
        <v>96</v>
      </c>
      <c r="F1302" s="1" t="s">
        <v>103</v>
      </c>
      <c r="G1302" s="1" t="s">
        <v>114</v>
      </c>
      <c r="H1302" s="1" t="s">
        <v>569</v>
      </c>
      <c r="I1302" s="1" t="s">
        <v>331</v>
      </c>
      <c r="J1302" s="1" t="s">
        <v>101</v>
      </c>
      <c r="K1302" s="1" t="s">
        <v>116</v>
      </c>
      <c r="L1302" s="1">
        <v>3009932</v>
      </c>
      <c r="M1302" s="1" t="s">
        <v>1442</v>
      </c>
      <c r="N1302" s="8">
        <f>DATE(2023,7,31)</f>
        <v>45138</v>
      </c>
      <c r="O1302" s="8">
        <f>DATE(2026,7,31)</f>
        <v>46234</v>
      </c>
      <c r="P1302" s="1">
        <v>3638</v>
      </c>
      <c r="Q1302" s="1">
        <v>1200</v>
      </c>
      <c r="R1302" s="1">
        <f t="shared" si="426"/>
        <v>3200</v>
      </c>
      <c r="S1302" s="1">
        <v>2.5</v>
      </c>
      <c r="U1302" s="1">
        <f t="shared" si="427"/>
        <v>1097</v>
      </c>
      <c r="V1302" s="7">
        <f t="shared" si="428"/>
        <v>2.917046490428441</v>
      </c>
      <c r="W1302" s="7">
        <f t="shared" si="429"/>
        <v>1064.721969006381</v>
      </c>
      <c r="X1302" s="7">
        <f t="shared" si="430"/>
        <v>1.3309024612579763</v>
      </c>
      <c r="AA1302" s="8">
        <f t="shared" si="431"/>
        <v>44927</v>
      </c>
      <c r="AB1302" s="8">
        <f t="shared" si="432"/>
        <v>45291</v>
      </c>
      <c r="AC1302" s="1">
        <v>30</v>
      </c>
      <c r="AD1302" s="1">
        <f t="shared" si="433"/>
        <v>0</v>
      </c>
      <c r="AE1302" s="1">
        <f t="shared" si="434"/>
        <v>154</v>
      </c>
      <c r="AF1302" s="1">
        <f t="shared" si="435"/>
        <v>0</v>
      </c>
      <c r="AG1302" s="1">
        <f t="shared" si="436"/>
        <v>0</v>
      </c>
      <c r="AH1302" s="1">
        <f t="shared" si="437"/>
        <v>0</v>
      </c>
      <c r="AI1302" s="5">
        <f t="shared" si="438"/>
        <v>0.42191780821917807</v>
      </c>
      <c r="AJ1302" s="5">
        <f t="shared" si="439"/>
        <v>0.5615314494074749</v>
      </c>
      <c r="AK1302" s="5">
        <f t="shared" si="440"/>
        <v>16.845943482224246</v>
      </c>
      <c r="AL1302" s="5">
        <f t="shared" si="441"/>
        <v>42.114858705560614</v>
      </c>
      <c r="AM1302" s="5">
        <f t="shared" si="442"/>
        <v>0</v>
      </c>
      <c r="AN1302" s="5">
        <f t="shared" si="443"/>
        <v>42.114858705560614</v>
      </c>
      <c r="AO1302" s="1" t="s">
        <v>102</v>
      </c>
    </row>
    <row r="1303" spans="1:41" x14ac:dyDescent="0.25">
      <c r="A1303" s="1" t="s">
        <v>19</v>
      </c>
      <c r="B1303" s="1" t="s">
        <v>58</v>
      </c>
      <c r="C1303" s="1" t="s">
        <v>21</v>
      </c>
      <c r="D1303" s="1" t="s">
        <v>59</v>
      </c>
      <c r="E1303" s="1" t="s">
        <v>96</v>
      </c>
      <c r="F1303" s="1" t="s">
        <v>103</v>
      </c>
      <c r="G1303" s="1" t="s">
        <v>114</v>
      </c>
      <c r="H1303" s="1" t="s">
        <v>1154</v>
      </c>
      <c r="I1303" s="1" t="s">
        <v>100</v>
      </c>
      <c r="J1303" s="1" t="s">
        <v>101</v>
      </c>
      <c r="K1303" s="1" t="s">
        <v>116</v>
      </c>
      <c r="L1303" s="1">
        <v>3009935</v>
      </c>
      <c r="M1303" s="1" t="s">
        <v>1443</v>
      </c>
      <c r="N1303" s="8">
        <f>DATE(2023,7,31)</f>
        <v>45138</v>
      </c>
      <c r="O1303" s="8">
        <f>DATE(2026,7,31)</f>
        <v>46234</v>
      </c>
      <c r="P1303" s="1">
        <v>3390</v>
      </c>
      <c r="Q1303" s="1">
        <v>800</v>
      </c>
      <c r="R1303" s="1">
        <f t="shared" si="426"/>
        <v>3000</v>
      </c>
      <c r="S1303" s="1">
        <v>1.5</v>
      </c>
      <c r="U1303" s="1">
        <f t="shared" si="427"/>
        <v>1097</v>
      </c>
      <c r="V1303" s="7">
        <f t="shared" si="428"/>
        <v>2.7347310847766635</v>
      </c>
      <c r="W1303" s="7">
        <f t="shared" si="429"/>
        <v>998.17684594348214</v>
      </c>
      <c r="X1303" s="7">
        <f t="shared" si="430"/>
        <v>1.2477210574293527</v>
      </c>
      <c r="AA1303" s="8">
        <f t="shared" si="431"/>
        <v>44927</v>
      </c>
      <c r="AB1303" s="8">
        <f t="shared" si="432"/>
        <v>45291</v>
      </c>
      <c r="AC1303" s="1">
        <v>28</v>
      </c>
      <c r="AD1303" s="1">
        <f t="shared" si="433"/>
        <v>0</v>
      </c>
      <c r="AE1303" s="1">
        <f t="shared" si="434"/>
        <v>154</v>
      </c>
      <c r="AF1303" s="1">
        <f t="shared" si="435"/>
        <v>0</v>
      </c>
      <c r="AG1303" s="1">
        <f t="shared" si="436"/>
        <v>0</v>
      </c>
      <c r="AH1303" s="1">
        <f t="shared" si="437"/>
        <v>0</v>
      </c>
      <c r="AI1303" s="5">
        <f t="shared" si="438"/>
        <v>0.42191780821917807</v>
      </c>
      <c r="AJ1303" s="5">
        <f t="shared" si="439"/>
        <v>0.5264357338195077</v>
      </c>
      <c r="AK1303" s="5">
        <f t="shared" si="440"/>
        <v>14.740200546946216</v>
      </c>
      <c r="AL1303" s="5">
        <f t="shared" si="441"/>
        <v>22.110300820419326</v>
      </c>
      <c r="AM1303" s="5">
        <f t="shared" si="442"/>
        <v>0</v>
      </c>
      <c r="AN1303" s="5">
        <f t="shared" si="443"/>
        <v>22.110300820419326</v>
      </c>
      <c r="AO1303" s="1" t="s">
        <v>102</v>
      </c>
    </row>
    <row r="1304" spans="1:41" x14ac:dyDescent="0.25">
      <c r="A1304" s="1" t="s">
        <v>19</v>
      </c>
      <c r="B1304" s="1" t="s">
        <v>58</v>
      </c>
      <c r="C1304" s="1" t="s">
        <v>21</v>
      </c>
      <c r="D1304" s="1" t="s">
        <v>59</v>
      </c>
      <c r="E1304" s="1" t="s">
        <v>96</v>
      </c>
      <c r="F1304" s="1" t="s">
        <v>103</v>
      </c>
      <c r="G1304" s="1" t="s">
        <v>114</v>
      </c>
      <c r="H1304" s="1" t="s">
        <v>1390</v>
      </c>
      <c r="I1304" s="1" t="s">
        <v>331</v>
      </c>
      <c r="J1304" s="1" t="s">
        <v>101</v>
      </c>
      <c r="K1304" s="1" t="s">
        <v>116</v>
      </c>
      <c r="L1304" s="1">
        <v>3065386</v>
      </c>
      <c r="M1304" s="1" t="s">
        <v>1444</v>
      </c>
      <c r="N1304" s="8">
        <f>DATE(2024,1,31)</f>
        <v>45322</v>
      </c>
      <c r="O1304" s="8">
        <f>DATE(2027,1,31)</f>
        <v>46418</v>
      </c>
      <c r="P1304" s="1">
        <v>3821</v>
      </c>
      <c r="Q1304" s="1">
        <v>1200</v>
      </c>
      <c r="R1304" s="1">
        <f t="shared" si="426"/>
        <v>3200</v>
      </c>
      <c r="S1304" s="1">
        <v>2</v>
      </c>
      <c r="U1304" s="1">
        <f t="shared" si="427"/>
        <v>1097</v>
      </c>
      <c r="V1304" s="7">
        <f t="shared" si="428"/>
        <v>2.917046490428441</v>
      </c>
      <c r="W1304" s="7">
        <f t="shared" si="429"/>
        <v>1064.721969006381</v>
      </c>
      <c r="X1304" s="7">
        <f t="shared" si="430"/>
        <v>1.3309024612579763</v>
      </c>
      <c r="AA1304" s="8">
        <f t="shared" si="431"/>
        <v>44927</v>
      </c>
      <c r="AB1304" s="8">
        <f t="shared" si="432"/>
        <v>45291</v>
      </c>
      <c r="AC1304" s="1">
        <v>0</v>
      </c>
      <c r="AD1304" s="1">
        <f t="shared" si="433"/>
        <v>0</v>
      </c>
      <c r="AE1304" s="1">
        <f t="shared" si="434"/>
        <v>0</v>
      </c>
      <c r="AF1304" s="1">
        <f t="shared" si="435"/>
        <v>0</v>
      </c>
      <c r="AG1304" s="1">
        <f t="shared" si="436"/>
        <v>0</v>
      </c>
      <c r="AH1304" s="1">
        <f t="shared" si="437"/>
        <v>0</v>
      </c>
      <c r="AI1304" s="5">
        <f t="shared" si="438"/>
        <v>0</v>
      </c>
      <c r="AJ1304" s="5">
        <f t="shared" si="439"/>
        <v>0</v>
      </c>
      <c r="AK1304" s="5">
        <f t="shared" si="440"/>
        <v>0</v>
      </c>
      <c r="AL1304" s="5">
        <f t="shared" si="441"/>
        <v>0</v>
      </c>
      <c r="AM1304" s="5">
        <f t="shared" si="442"/>
        <v>0</v>
      </c>
      <c r="AN1304" s="5">
        <f t="shared" si="443"/>
        <v>0</v>
      </c>
      <c r="AO1304" s="1" t="s">
        <v>102</v>
      </c>
    </row>
    <row r="1305" spans="1:41" x14ac:dyDescent="0.25">
      <c r="A1305" s="1" t="s">
        <v>19</v>
      </c>
      <c r="B1305" s="1" t="s">
        <v>58</v>
      </c>
      <c r="C1305" s="1" t="s">
        <v>21</v>
      </c>
      <c r="D1305" s="1" t="s">
        <v>59</v>
      </c>
      <c r="E1305" s="1" t="s">
        <v>96</v>
      </c>
      <c r="F1305" s="1" t="s">
        <v>103</v>
      </c>
      <c r="G1305" s="1" t="s">
        <v>114</v>
      </c>
      <c r="H1305" s="1" t="s">
        <v>569</v>
      </c>
      <c r="I1305" s="1" t="s">
        <v>331</v>
      </c>
      <c r="J1305" s="1" t="s">
        <v>101</v>
      </c>
      <c r="K1305" s="1" t="s">
        <v>116</v>
      </c>
      <c r="L1305" s="1">
        <v>3065387</v>
      </c>
      <c r="M1305" s="1" t="s">
        <v>1445</v>
      </c>
      <c r="N1305" s="8">
        <f>DATE(2024,1,31)</f>
        <v>45322</v>
      </c>
      <c r="O1305" s="8">
        <f>DATE(2027,1,31)</f>
        <v>46418</v>
      </c>
      <c r="P1305" s="1">
        <v>3638</v>
      </c>
      <c r="Q1305" s="1">
        <v>1200</v>
      </c>
      <c r="R1305" s="1">
        <f t="shared" si="426"/>
        <v>3200</v>
      </c>
      <c r="S1305" s="1">
        <v>2.5</v>
      </c>
      <c r="U1305" s="1">
        <f t="shared" si="427"/>
        <v>1097</v>
      </c>
      <c r="V1305" s="7">
        <f t="shared" si="428"/>
        <v>2.917046490428441</v>
      </c>
      <c r="W1305" s="7">
        <f t="shared" si="429"/>
        <v>1064.721969006381</v>
      </c>
      <c r="X1305" s="7">
        <f t="shared" si="430"/>
        <v>1.3309024612579763</v>
      </c>
      <c r="AA1305" s="8">
        <f t="shared" si="431"/>
        <v>44927</v>
      </c>
      <c r="AB1305" s="8">
        <f t="shared" si="432"/>
        <v>45291</v>
      </c>
      <c r="AC1305" s="1">
        <v>0</v>
      </c>
      <c r="AD1305" s="1">
        <f t="shared" si="433"/>
        <v>0</v>
      </c>
      <c r="AE1305" s="1">
        <f t="shared" si="434"/>
        <v>0</v>
      </c>
      <c r="AF1305" s="1">
        <f t="shared" si="435"/>
        <v>0</v>
      </c>
      <c r="AG1305" s="1">
        <f t="shared" si="436"/>
        <v>0</v>
      </c>
      <c r="AH1305" s="1">
        <f t="shared" si="437"/>
        <v>0</v>
      </c>
      <c r="AI1305" s="5">
        <f t="shared" si="438"/>
        <v>0</v>
      </c>
      <c r="AJ1305" s="5">
        <f t="shared" si="439"/>
        <v>0</v>
      </c>
      <c r="AK1305" s="5">
        <f t="shared" si="440"/>
        <v>0</v>
      </c>
      <c r="AL1305" s="5">
        <f t="shared" si="441"/>
        <v>0</v>
      </c>
      <c r="AM1305" s="5">
        <f t="shared" si="442"/>
        <v>0</v>
      </c>
      <c r="AN1305" s="5">
        <f t="shared" si="443"/>
        <v>0</v>
      </c>
      <c r="AO1305" s="1" t="s">
        <v>102</v>
      </c>
    </row>
    <row r="1306" spans="1:41" x14ac:dyDescent="0.25">
      <c r="A1306" s="1" t="s">
        <v>19</v>
      </c>
      <c r="B1306" s="1" t="s">
        <v>58</v>
      </c>
      <c r="C1306" s="1" t="s">
        <v>21</v>
      </c>
      <c r="D1306" s="1" t="s">
        <v>59</v>
      </c>
      <c r="E1306" s="1" t="s">
        <v>96</v>
      </c>
      <c r="F1306" s="1" t="s">
        <v>103</v>
      </c>
      <c r="G1306" s="1" t="s">
        <v>114</v>
      </c>
      <c r="H1306" s="1" t="s">
        <v>1154</v>
      </c>
      <c r="I1306" s="1" t="s">
        <v>100</v>
      </c>
      <c r="J1306" s="1" t="s">
        <v>101</v>
      </c>
      <c r="K1306" s="1" t="s">
        <v>116</v>
      </c>
      <c r="L1306" s="1">
        <v>3065388</v>
      </c>
      <c r="M1306" s="1" t="s">
        <v>1446</v>
      </c>
      <c r="N1306" s="8">
        <f>DATE(2024,1,31)</f>
        <v>45322</v>
      </c>
      <c r="O1306" s="8">
        <f>DATE(2027,1,31)</f>
        <v>46418</v>
      </c>
      <c r="P1306" s="1">
        <v>3390</v>
      </c>
      <c r="Q1306" s="1">
        <v>800</v>
      </c>
      <c r="R1306" s="1">
        <f t="shared" si="426"/>
        <v>3000</v>
      </c>
      <c r="S1306" s="1">
        <v>1.5</v>
      </c>
      <c r="U1306" s="1">
        <f t="shared" si="427"/>
        <v>1097</v>
      </c>
      <c r="V1306" s="7">
        <f t="shared" si="428"/>
        <v>2.7347310847766635</v>
      </c>
      <c r="W1306" s="7">
        <f t="shared" si="429"/>
        <v>998.17684594348214</v>
      </c>
      <c r="X1306" s="7">
        <f t="shared" si="430"/>
        <v>1.2477210574293527</v>
      </c>
      <c r="AA1306" s="8">
        <f t="shared" si="431"/>
        <v>44927</v>
      </c>
      <c r="AB1306" s="8">
        <f t="shared" si="432"/>
        <v>45291</v>
      </c>
      <c r="AC1306" s="1">
        <v>0</v>
      </c>
      <c r="AD1306" s="1">
        <f t="shared" si="433"/>
        <v>0</v>
      </c>
      <c r="AE1306" s="1">
        <f t="shared" si="434"/>
        <v>0</v>
      </c>
      <c r="AF1306" s="1">
        <f t="shared" si="435"/>
        <v>0</v>
      </c>
      <c r="AG1306" s="1">
        <f t="shared" si="436"/>
        <v>0</v>
      </c>
      <c r="AH1306" s="1">
        <f t="shared" si="437"/>
        <v>0</v>
      </c>
      <c r="AI1306" s="5">
        <f t="shared" si="438"/>
        <v>0</v>
      </c>
      <c r="AJ1306" s="5">
        <f t="shared" si="439"/>
        <v>0</v>
      </c>
      <c r="AK1306" s="5">
        <f t="shared" si="440"/>
        <v>0</v>
      </c>
      <c r="AL1306" s="5">
        <f t="shared" si="441"/>
        <v>0</v>
      </c>
      <c r="AM1306" s="5">
        <f t="shared" si="442"/>
        <v>0</v>
      </c>
      <c r="AN1306" s="5">
        <f t="shared" si="443"/>
        <v>0</v>
      </c>
      <c r="AO1306" s="1" t="s">
        <v>102</v>
      </c>
    </row>
    <row r="1307" spans="1:41" x14ac:dyDescent="0.25">
      <c r="A1307" s="1" t="s">
        <v>19</v>
      </c>
      <c r="B1307" s="1" t="s">
        <v>58</v>
      </c>
      <c r="C1307" s="1" t="s">
        <v>21</v>
      </c>
      <c r="D1307" s="1" t="s">
        <v>59</v>
      </c>
      <c r="E1307" s="1" t="s">
        <v>96</v>
      </c>
      <c r="F1307" s="1" t="s">
        <v>103</v>
      </c>
      <c r="G1307" s="1" t="s">
        <v>127</v>
      </c>
      <c r="H1307" s="1" t="s">
        <v>251</v>
      </c>
      <c r="I1307" s="1" t="s">
        <v>100</v>
      </c>
      <c r="J1307" s="1" t="s">
        <v>101</v>
      </c>
      <c r="L1307" s="1">
        <v>3065389</v>
      </c>
      <c r="M1307" s="1" t="s">
        <v>1447</v>
      </c>
      <c r="N1307" s="8">
        <f>DATE(2024,1,31)</f>
        <v>45322</v>
      </c>
      <c r="O1307" s="8">
        <f>DATE(2027,1,31)</f>
        <v>46418</v>
      </c>
      <c r="P1307" s="1">
        <v>2058</v>
      </c>
      <c r="Q1307" s="1">
        <v>1600</v>
      </c>
      <c r="R1307" s="1">
        <f t="shared" si="426"/>
        <v>1600</v>
      </c>
      <c r="S1307" s="1">
        <v>1</v>
      </c>
      <c r="U1307" s="1">
        <f t="shared" si="427"/>
        <v>1097</v>
      </c>
      <c r="V1307" s="7">
        <f t="shared" si="428"/>
        <v>1.4585232452142205</v>
      </c>
      <c r="W1307" s="7">
        <f t="shared" si="429"/>
        <v>532.36098450319048</v>
      </c>
      <c r="X1307" s="7">
        <f t="shared" si="430"/>
        <v>0.66545123062898814</v>
      </c>
      <c r="AA1307" s="8">
        <f t="shared" si="431"/>
        <v>44927</v>
      </c>
      <c r="AB1307" s="8">
        <f t="shared" si="432"/>
        <v>45291</v>
      </c>
      <c r="AC1307" s="1">
        <v>0</v>
      </c>
      <c r="AD1307" s="1">
        <f t="shared" si="433"/>
        <v>0</v>
      </c>
      <c r="AE1307" s="1">
        <f t="shared" si="434"/>
        <v>0</v>
      </c>
      <c r="AF1307" s="1">
        <f t="shared" si="435"/>
        <v>0</v>
      </c>
      <c r="AG1307" s="1">
        <f t="shared" si="436"/>
        <v>0</v>
      </c>
      <c r="AH1307" s="1">
        <f t="shared" si="437"/>
        <v>0</v>
      </c>
      <c r="AI1307" s="5">
        <f t="shared" si="438"/>
        <v>0</v>
      </c>
      <c r="AJ1307" s="5">
        <f t="shared" si="439"/>
        <v>0</v>
      </c>
      <c r="AK1307" s="5">
        <f t="shared" si="440"/>
        <v>0</v>
      </c>
      <c r="AL1307" s="5">
        <f t="shared" si="441"/>
        <v>0</v>
      </c>
      <c r="AM1307" s="5">
        <f t="shared" si="442"/>
        <v>0</v>
      </c>
      <c r="AN1307" s="5">
        <f t="shared" si="443"/>
        <v>0</v>
      </c>
      <c r="AO1307" s="1" t="s">
        <v>102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AB2"/>
  </mergeCell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INSTITUÍÇÃO</vt:lpstr>
      <vt:lpstr>CAMPI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Augusto</dc:creator>
  <cp:keywords/>
  <dc:description/>
  <cp:lastModifiedBy>Vandervanio Osni Pacheco dos Santos</cp:lastModifiedBy>
  <dcterms:created xsi:type="dcterms:W3CDTF">2016-04-11T15:22:23Z</dcterms:created>
  <dcterms:modified xsi:type="dcterms:W3CDTF">2024-09-23T14:01:59Z</dcterms:modified>
  <cp:category/>
</cp:coreProperties>
</file>